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Finance\Financial\Audit 2019\"/>
    </mc:Choice>
  </mc:AlternateContent>
  <xr:revisionPtr revIDLastSave="0" documentId="13_ncr:1_{4E3B59CD-86C6-44C1-A342-24B953D1924B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Budget Overview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34" i="1" l="1"/>
  <c r="L434" i="1"/>
  <c r="K434" i="1"/>
  <c r="J434" i="1"/>
  <c r="I434" i="1"/>
  <c r="H434" i="1"/>
  <c r="G434" i="1"/>
  <c r="F434" i="1"/>
  <c r="E434" i="1"/>
  <c r="D434" i="1"/>
  <c r="C434" i="1"/>
  <c r="B434" i="1"/>
  <c r="M433" i="1"/>
  <c r="L433" i="1"/>
  <c r="K433" i="1"/>
  <c r="J433" i="1"/>
  <c r="I433" i="1"/>
  <c r="H433" i="1"/>
  <c r="G433" i="1"/>
  <c r="F433" i="1"/>
  <c r="E433" i="1"/>
  <c r="D433" i="1"/>
  <c r="C433" i="1"/>
  <c r="B433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N431" i="1" s="1"/>
  <c r="M430" i="1"/>
  <c r="L430" i="1"/>
  <c r="K430" i="1"/>
  <c r="J430" i="1"/>
  <c r="I430" i="1"/>
  <c r="H430" i="1"/>
  <c r="G430" i="1"/>
  <c r="F430" i="1"/>
  <c r="E430" i="1"/>
  <c r="D430" i="1"/>
  <c r="C430" i="1"/>
  <c r="B430" i="1"/>
  <c r="N430" i="1" s="1"/>
  <c r="M429" i="1"/>
  <c r="M432" i="1" s="1"/>
  <c r="L429" i="1"/>
  <c r="L432" i="1" s="1"/>
  <c r="K429" i="1"/>
  <c r="K432" i="1" s="1"/>
  <c r="J429" i="1"/>
  <c r="J432" i="1" s="1"/>
  <c r="I429" i="1"/>
  <c r="I432" i="1" s="1"/>
  <c r="H429" i="1"/>
  <c r="H432" i="1" s="1"/>
  <c r="G429" i="1"/>
  <c r="G432" i="1" s="1"/>
  <c r="F429" i="1"/>
  <c r="F432" i="1" s="1"/>
  <c r="E429" i="1"/>
  <c r="E432" i="1" s="1"/>
  <c r="D429" i="1"/>
  <c r="D432" i="1" s="1"/>
  <c r="C429" i="1"/>
  <c r="C432" i="1" s="1"/>
  <c r="B429" i="1"/>
  <c r="N429" i="1" s="1"/>
  <c r="N428" i="1"/>
  <c r="M427" i="1"/>
  <c r="L427" i="1"/>
  <c r="K427" i="1"/>
  <c r="J427" i="1"/>
  <c r="I427" i="1"/>
  <c r="H427" i="1"/>
  <c r="G427" i="1"/>
  <c r="F427" i="1"/>
  <c r="E427" i="1"/>
  <c r="D427" i="1"/>
  <c r="C427" i="1"/>
  <c r="B427" i="1"/>
  <c r="M426" i="1"/>
  <c r="M435" i="1" s="1"/>
  <c r="L426" i="1"/>
  <c r="L435" i="1" s="1"/>
  <c r="K426" i="1"/>
  <c r="J426" i="1"/>
  <c r="I426" i="1"/>
  <c r="I435" i="1" s="1"/>
  <c r="H426" i="1"/>
  <c r="H435" i="1" s="1"/>
  <c r="G426" i="1"/>
  <c r="F426" i="1"/>
  <c r="E426" i="1"/>
  <c r="E435" i="1" s="1"/>
  <c r="D426" i="1"/>
  <c r="D435" i="1" s="1"/>
  <c r="C426" i="1"/>
  <c r="B426" i="1"/>
  <c r="N425" i="1"/>
  <c r="M423" i="1"/>
  <c r="L423" i="1"/>
  <c r="K423" i="1"/>
  <c r="J423" i="1"/>
  <c r="I423" i="1"/>
  <c r="H423" i="1"/>
  <c r="G423" i="1"/>
  <c r="F423" i="1"/>
  <c r="E423" i="1"/>
  <c r="D423" i="1"/>
  <c r="C423" i="1"/>
  <c r="B423" i="1"/>
  <c r="N423" i="1" s="1"/>
  <c r="M422" i="1"/>
  <c r="L422" i="1"/>
  <c r="K422" i="1"/>
  <c r="J422" i="1"/>
  <c r="I422" i="1"/>
  <c r="H422" i="1"/>
  <c r="G422" i="1"/>
  <c r="F422" i="1"/>
  <c r="E422" i="1"/>
  <c r="D422" i="1"/>
  <c r="C422" i="1"/>
  <c r="B422" i="1"/>
  <c r="N422" i="1" s="1"/>
  <c r="M421" i="1"/>
  <c r="L421" i="1"/>
  <c r="K421" i="1"/>
  <c r="J421" i="1"/>
  <c r="I421" i="1"/>
  <c r="H421" i="1"/>
  <c r="G421" i="1"/>
  <c r="F421" i="1"/>
  <c r="E421" i="1"/>
  <c r="D421" i="1"/>
  <c r="C421" i="1"/>
  <c r="B421" i="1"/>
  <c r="N421" i="1" s="1"/>
  <c r="M420" i="1"/>
  <c r="L420" i="1"/>
  <c r="K420" i="1"/>
  <c r="J420" i="1"/>
  <c r="I420" i="1"/>
  <c r="H420" i="1"/>
  <c r="G420" i="1"/>
  <c r="F420" i="1"/>
  <c r="E420" i="1"/>
  <c r="D420" i="1"/>
  <c r="C420" i="1"/>
  <c r="B420" i="1"/>
  <c r="N420" i="1" s="1"/>
  <c r="M419" i="1"/>
  <c r="L419" i="1"/>
  <c r="K419" i="1"/>
  <c r="J419" i="1"/>
  <c r="I419" i="1"/>
  <c r="H419" i="1"/>
  <c r="G419" i="1"/>
  <c r="F419" i="1"/>
  <c r="E419" i="1"/>
  <c r="D419" i="1"/>
  <c r="C419" i="1"/>
  <c r="B419" i="1"/>
  <c r="M418" i="1"/>
  <c r="L418" i="1"/>
  <c r="K418" i="1"/>
  <c r="J418" i="1"/>
  <c r="I418" i="1"/>
  <c r="H418" i="1"/>
  <c r="G418" i="1"/>
  <c r="F418" i="1"/>
  <c r="E418" i="1"/>
  <c r="D418" i="1"/>
  <c r="C418" i="1"/>
  <c r="B418" i="1"/>
  <c r="N418" i="1" s="1"/>
  <c r="M417" i="1"/>
  <c r="L417" i="1"/>
  <c r="K417" i="1"/>
  <c r="J417" i="1"/>
  <c r="I417" i="1"/>
  <c r="H417" i="1"/>
  <c r="G417" i="1"/>
  <c r="F417" i="1"/>
  <c r="E417" i="1"/>
  <c r="D417" i="1"/>
  <c r="C417" i="1"/>
  <c r="B417" i="1"/>
  <c r="M416" i="1"/>
  <c r="L416" i="1"/>
  <c r="K416" i="1"/>
  <c r="J416" i="1"/>
  <c r="I416" i="1"/>
  <c r="H416" i="1"/>
  <c r="G416" i="1"/>
  <c r="F416" i="1"/>
  <c r="E416" i="1"/>
  <c r="D416" i="1"/>
  <c r="C416" i="1"/>
  <c r="B416" i="1"/>
  <c r="N416" i="1" s="1"/>
  <c r="M414" i="1"/>
  <c r="L414" i="1"/>
  <c r="K414" i="1"/>
  <c r="J414" i="1"/>
  <c r="I414" i="1"/>
  <c r="H414" i="1"/>
  <c r="G414" i="1"/>
  <c r="F414" i="1"/>
  <c r="E414" i="1"/>
  <c r="D414" i="1"/>
  <c r="C414" i="1"/>
  <c r="B414" i="1"/>
  <c r="M413" i="1"/>
  <c r="L413" i="1"/>
  <c r="K413" i="1"/>
  <c r="J413" i="1"/>
  <c r="I413" i="1"/>
  <c r="H413" i="1"/>
  <c r="G413" i="1"/>
  <c r="F413" i="1"/>
  <c r="E413" i="1"/>
  <c r="D413" i="1"/>
  <c r="C413" i="1"/>
  <c r="B413" i="1"/>
  <c r="M412" i="1"/>
  <c r="L412" i="1"/>
  <c r="K412" i="1"/>
  <c r="J412" i="1"/>
  <c r="I412" i="1"/>
  <c r="H412" i="1"/>
  <c r="G412" i="1"/>
  <c r="F412" i="1"/>
  <c r="E412" i="1"/>
  <c r="D412" i="1"/>
  <c r="C412" i="1"/>
  <c r="B412" i="1"/>
  <c r="M411" i="1"/>
  <c r="L411" i="1"/>
  <c r="L415" i="1" s="1"/>
  <c r="K411" i="1"/>
  <c r="K415" i="1" s="1"/>
  <c r="J411" i="1"/>
  <c r="J415" i="1" s="1"/>
  <c r="I411" i="1"/>
  <c r="H411" i="1"/>
  <c r="H415" i="1" s="1"/>
  <c r="G411" i="1"/>
  <c r="G415" i="1" s="1"/>
  <c r="F411" i="1"/>
  <c r="F415" i="1" s="1"/>
  <c r="E411" i="1"/>
  <c r="D411" i="1"/>
  <c r="D415" i="1" s="1"/>
  <c r="C411" i="1"/>
  <c r="C415" i="1" s="1"/>
  <c r="B411" i="1"/>
  <c r="B415" i="1" s="1"/>
  <c r="N410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M408" i="1"/>
  <c r="L408" i="1"/>
  <c r="K408" i="1"/>
  <c r="J408" i="1"/>
  <c r="I408" i="1"/>
  <c r="H408" i="1"/>
  <c r="G408" i="1"/>
  <c r="F408" i="1"/>
  <c r="E408" i="1"/>
  <c r="D408" i="1"/>
  <c r="C408" i="1"/>
  <c r="B408" i="1"/>
  <c r="M407" i="1"/>
  <c r="L407" i="1"/>
  <c r="K407" i="1"/>
  <c r="J407" i="1"/>
  <c r="I407" i="1"/>
  <c r="H407" i="1"/>
  <c r="G407" i="1"/>
  <c r="F407" i="1"/>
  <c r="E407" i="1"/>
  <c r="D407" i="1"/>
  <c r="C407" i="1"/>
  <c r="B407" i="1"/>
  <c r="H406" i="1"/>
  <c r="D406" i="1"/>
  <c r="M405" i="1"/>
  <c r="L405" i="1"/>
  <c r="K405" i="1"/>
  <c r="J405" i="1"/>
  <c r="I405" i="1"/>
  <c r="H405" i="1"/>
  <c r="G405" i="1"/>
  <c r="F405" i="1"/>
  <c r="E405" i="1"/>
  <c r="D405" i="1"/>
  <c r="C405" i="1"/>
  <c r="B405" i="1"/>
  <c r="M404" i="1"/>
  <c r="L404" i="1"/>
  <c r="L406" i="1" s="1"/>
  <c r="K404" i="1"/>
  <c r="K406" i="1" s="1"/>
  <c r="J404" i="1"/>
  <c r="J406" i="1" s="1"/>
  <c r="I404" i="1"/>
  <c r="H404" i="1"/>
  <c r="G404" i="1"/>
  <c r="G406" i="1" s="1"/>
  <c r="F404" i="1"/>
  <c r="F406" i="1" s="1"/>
  <c r="E404" i="1"/>
  <c r="D404" i="1"/>
  <c r="C404" i="1"/>
  <c r="C406" i="1" s="1"/>
  <c r="B404" i="1"/>
  <c r="B406" i="1" s="1"/>
  <c r="M403" i="1"/>
  <c r="L403" i="1"/>
  <c r="K403" i="1"/>
  <c r="J403" i="1"/>
  <c r="I403" i="1"/>
  <c r="H403" i="1"/>
  <c r="G403" i="1"/>
  <c r="F403" i="1"/>
  <c r="E403" i="1"/>
  <c r="D403" i="1"/>
  <c r="C403" i="1"/>
  <c r="B403" i="1"/>
  <c r="M402" i="1"/>
  <c r="L402" i="1"/>
  <c r="K402" i="1"/>
  <c r="J402" i="1"/>
  <c r="I402" i="1"/>
  <c r="H402" i="1"/>
  <c r="G402" i="1"/>
  <c r="F402" i="1"/>
  <c r="E402" i="1"/>
  <c r="D402" i="1"/>
  <c r="C402" i="1"/>
  <c r="B402" i="1"/>
  <c r="M401" i="1"/>
  <c r="L401" i="1"/>
  <c r="K401" i="1"/>
  <c r="J401" i="1"/>
  <c r="I401" i="1"/>
  <c r="H401" i="1"/>
  <c r="G401" i="1"/>
  <c r="F401" i="1"/>
  <c r="E401" i="1"/>
  <c r="D401" i="1"/>
  <c r="C401" i="1"/>
  <c r="B401" i="1"/>
  <c r="M400" i="1"/>
  <c r="L400" i="1"/>
  <c r="K400" i="1"/>
  <c r="J400" i="1"/>
  <c r="I400" i="1"/>
  <c r="H400" i="1"/>
  <c r="G400" i="1"/>
  <c r="F400" i="1"/>
  <c r="E400" i="1"/>
  <c r="D400" i="1"/>
  <c r="C400" i="1"/>
  <c r="B400" i="1"/>
  <c r="M399" i="1"/>
  <c r="L399" i="1"/>
  <c r="K399" i="1"/>
  <c r="J399" i="1"/>
  <c r="I399" i="1"/>
  <c r="H399" i="1"/>
  <c r="G399" i="1"/>
  <c r="F399" i="1"/>
  <c r="E399" i="1"/>
  <c r="D399" i="1"/>
  <c r="C399" i="1"/>
  <c r="B399" i="1"/>
  <c r="M398" i="1"/>
  <c r="L398" i="1"/>
  <c r="K398" i="1"/>
  <c r="J398" i="1"/>
  <c r="J424" i="1" s="1"/>
  <c r="I398" i="1"/>
  <c r="H398" i="1"/>
  <c r="G398" i="1"/>
  <c r="F398" i="1"/>
  <c r="E398" i="1"/>
  <c r="D398" i="1"/>
  <c r="C398" i="1"/>
  <c r="B398" i="1"/>
  <c r="N397" i="1"/>
  <c r="M395" i="1"/>
  <c r="L395" i="1"/>
  <c r="K395" i="1"/>
  <c r="J395" i="1"/>
  <c r="I395" i="1"/>
  <c r="H395" i="1"/>
  <c r="G395" i="1"/>
  <c r="F395" i="1"/>
  <c r="E395" i="1"/>
  <c r="D395" i="1"/>
  <c r="C395" i="1"/>
  <c r="B395" i="1"/>
  <c r="D394" i="1"/>
  <c r="M393" i="1"/>
  <c r="L393" i="1"/>
  <c r="K393" i="1"/>
  <c r="J393" i="1"/>
  <c r="I393" i="1"/>
  <c r="H393" i="1"/>
  <c r="G393" i="1"/>
  <c r="F393" i="1"/>
  <c r="E393" i="1"/>
  <c r="D393" i="1"/>
  <c r="C393" i="1"/>
  <c r="B393" i="1"/>
  <c r="M392" i="1"/>
  <c r="L392" i="1"/>
  <c r="K392" i="1"/>
  <c r="J392" i="1"/>
  <c r="I392" i="1"/>
  <c r="H392" i="1"/>
  <c r="G392" i="1"/>
  <c r="F392" i="1"/>
  <c r="E392" i="1"/>
  <c r="D392" i="1"/>
  <c r="C392" i="1"/>
  <c r="B392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M390" i="1"/>
  <c r="L390" i="1"/>
  <c r="L394" i="1" s="1"/>
  <c r="K390" i="1"/>
  <c r="K394" i="1" s="1"/>
  <c r="J390" i="1"/>
  <c r="J394" i="1" s="1"/>
  <c r="I390" i="1"/>
  <c r="H390" i="1"/>
  <c r="H394" i="1" s="1"/>
  <c r="G390" i="1"/>
  <c r="G394" i="1" s="1"/>
  <c r="F390" i="1"/>
  <c r="F394" i="1" s="1"/>
  <c r="E390" i="1"/>
  <c r="D390" i="1"/>
  <c r="C390" i="1"/>
  <c r="C394" i="1" s="1"/>
  <c r="B390" i="1"/>
  <c r="B394" i="1" s="1"/>
  <c r="N389" i="1"/>
  <c r="M388" i="1"/>
  <c r="L388" i="1"/>
  <c r="K388" i="1"/>
  <c r="J388" i="1"/>
  <c r="I388" i="1"/>
  <c r="H388" i="1"/>
  <c r="G388" i="1"/>
  <c r="F388" i="1"/>
  <c r="E388" i="1"/>
  <c r="D388" i="1"/>
  <c r="C388" i="1"/>
  <c r="B388" i="1"/>
  <c r="N388" i="1" s="1"/>
  <c r="M387" i="1"/>
  <c r="L387" i="1"/>
  <c r="K387" i="1"/>
  <c r="J387" i="1"/>
  <c r="I387" i="1"/>
  <c r="H387" i="1"/>
  <c r="G387" i="1"/>
  <c r="F387" i="1"/>
  <c r="E387" i="1"/>
  <c r="D387" i="1"/>
  <c r="C387" i="1"/>
  <c r="B387" i="1"/>
  <c r="N387" i="1" s="1"/>
  <c r="M386" i="1"/>
  <c r="L386" i="1"/>
  <c r="K386" i="1"/>
  <c r="J386" i="1"/>
  <c r="I386" i="1"/>
  <c r="H386" i="1"/>
  <c r="G386" i="1"/>
  <c r="F386" i="1"/>
  <c r="F396" i="1" s="1"/>
  <c r="E386" i="1"/>
  <c r="D386" i="1"/>
  <c r="C386" i="1"/>
  <c r="B386" i="1"/>
  <c r="N385" i="1"/>
  <c r="M383" i="1"/>
  <c r="L383" i="1"/>
  <c r="K383" i="1"/>
  <c r="J383" i="1"/>
  <c r="I383" i="1"/>
  <c r="H383" i="1"/>
  <c r="G383" i="1"/>
  <c r="F383" i="1"/>
  <c r="E383" i="1"/>
  <c r="D383" i="1"/>
  <c r="C383" i="1"/>
  <c r="B383" i="1"/>
  <c r="M382" i="1"/>
  <c r="L382" i="1"/>
  <c r="K382" i="1"/>
  <c r="J382" i="1"/>
  <c r="I382" i="1"/>
  <c r="H382" i="1"/>
  <c r="G382" i="1"/>
  <c r="F382" i="1"/>
  <c r="E382" i="1"/>
  <c r="D382" i="1"/>
  <c r="C382" i="1"/>
  <c r="B382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M380" i="1"/>
  <c r="L380" i="1"/>
  <c r="K380" i="1"/>
  <c r="J380" i="1"/>
  <c r="I380" i="1"/>
  <c r="H380" i="1"/>
  <c r="G380" i="1"/>
  <c r="F380" i="1"/>
  <c r="E380" i="1"/>
  <c r="D380" i="1"/>
  <c r="C380" i="1"/>
  <c r="B380" i="1"/>
  <c r="M379" i="1"/>
  <c r="L379" i="1"/>
  <c r="K379" i="1"/>
  <c r="J379" i="1"/>
  <c r="I379" i="1"/>
  <c r="H379" i="1"/>
  <c r="G379" i="1"/>
  <c r="F379" i="1"/>
  <c r="E379" i="1"/>
  <c r="D379" i="1"/>
  <c r="C379" i="1"/>
  <c r="B379" i="1"/>
  <c r="M378" i="1"/>
  <c r="L378" i="1"/>
  <c r="L384" i="1" s="1"/>
  <c r="K378" i="1"/>
  <c r="J378" i="1"/>
  <c r="I378" i="1"/>
  <c r="H378" i="1"/>
  <c r="H384" i="1" s="1"/>
  <c r="G378" i="1"/>
  <c r="F378" i="1"/>
  <c r="F384" i="1" s="1"/>
  <c r="E378" i="1"/>
  <c r="D378" i="1"/>
  <c r="D384" i="1" s="1"/>
  <c r="C378" i="1"/>
  <c r="B378" i="1"/>
  <c r="N377" i="1"/>
  <c r="M375" i="1"/>
  <c r="L375" i="1"/>
  <c r="K375" i="1"/>
  <c r="J375" i="1"/>
  <c r="I375" i="1"/>
  <c r="H375" i="1"/>
  <c r="G375" i="1"/>
  <c r="F375" i="1"/>
  <c r="E375" i="1"/>
  <c r="D375" i="1"/>
  <c r="C375" i="1"/>
  <c r="B375" i="1"/>
  <c r="M374" i="1"/>
  <c r="L374" i="1"/>
  <c r="K374" i="1"/>
  <c r="J374" i="1"/>
  <c r="I374" i="1"/>
  <c r="H374" i="1"/>
  <c r="G374" i="1"/>
  <c r="F374" i="1"/>
  <c r="E374" i="1"/>
  <c r="D374" i="1"/>
  <c r="C374" i="1"/>
  <c r="B374" i="1"/>
  <c r="M373" i="1"/>
  <c r="L373" i="1"/>
  <c r="K373" i="1"/>
  <c r="J373" i="1"/>
  <c r="I373" i="1"/>
  <c r="H373" i="1"/>
  <c r="G373" i="1"/>
  <c r="F373" i="1"/>
  <c r="E373" i="1"/>
  <c r="D373" i="1"/>
  <c r="C373" i="1"/>
  <c r="B373" i="1"/>
  <c r="J372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M370" i="1"/>
  <c r="L370" i="1"/>
  <c r="K370" i="1"/>
  <c r="J370" i="1"/>
  <c r="I370" i="1"/>
  <c r="H370" i="1"/>
  <c r="G370" i="1"/>
  <c r="F370" i="1"/>
  <c r="E370" i="1"/>
  <c r="D370" i="1"/>
  <c r="C370" i="1"/>
  <c r="B370" i="1"/>
  <c r="M369" i="1"/>
  <c r="M372" i="1" s="1"/>
  <c r="L369" i="1"/>
  <c r="L372" i="1" s="1"/>
  <c r="K369" i="1"/>
  <c r="J369" i="1"/>
  <c r="I369" i="1"/>
  <c r="I372" i="1" s="1"/>
  <c r="H369" i="1"/>
  <c r="H372" i="1" s="1"/>
  <c r="G369" i="1"/>
  <c r="F369" i="1"/>
  <c r="F372" i="1" s="1"/>
  <c r="E369" i="1"/>
  <c r="E372" i="1" s="1"/>
  <c r="D369" i="1"/>
  <c r="D372" i="1" s="1"/>
  <c r="C369" i="1"/>
  <c r="B369" i="1"/>
  <c r="B372" i="1" s="1"/>
  <c r="N368" i="1"/>
  <c r="M367" i="1"/>
  <c r="L367" i="1"/>
  <c r="K367" i="1"/>
  <c r="J367" i="1"/>
  <c r="I367" i="1"/>
  <c r="H367" i="1"/>
  <c r="G367" i="1"/>
  <c r="F367" i="1"/>
  <c r="E367" i="1"/>
  <c r="D367" i="1"/>
  <c r="C367" i="1"/>
  <c r="B367" i="1"/>
  <c r="N367" i="1" s="1"/>
  <c r="M366" i="1"/>
  <c r="L366" i="1"/>
  <c r="K366" i="1"/>
  <c r="J366" i="1"/>
  <c r="I366" i="1"/>
  <c r="H366" i="1"/>
  <c r="G366" i="1"/>
  <c r="F366" i="1"/>
  <c r="E366" i="1"/>
  <c r="D366" i="1"/>
  <c r="C366" i="1"/>
  <c r="B366" i="1"/>
  <c r="N366" i="1" s="1"/>
  <c r="M365" i="1"/>
  <c r="L365" i="1"/>
  <c r="K365" i="1"/>
  <c r="J365" i="1"/>
  <c r="I365" i="1"/>
  <c r="H365" i="1"/>
  <c r="G365" i="1"/>
  <c r="F365" i="1"/>
  <c r="E365" i="1"/>
  <c r="D365" i="1"/>
  <c r="C365" i="1"/>
  <c r="B365" i="1"/>
  <c r="M364" i="1"/>
  <c r="L364" i="1"/>
  <c r="K364" i="1"/>
  <c r="J364" i="1"/>
  <c r="I364" i="1"/>
  <c r="H364" i="1"/>
  <c r="G364" i="1"/>
  <c r="F364" i="1"/>
  <c r="E364" i="1"/>
  <c r="D364" i="1"/>
  <c r="C364" i="1"/>
  <c r="B364" i="1"/>
  <c r="M363" i="1"/>
  <c r="L363" i="1"/>
  <c r="K363" i="1"/>
  <c r="J363" i="1"/>
  <c r="I363" i="1"/>
  <c r="H363" i="1"/>
  <c r="G363" i="1"/>
  <c r="F363" i="1"/>
  <c r="E363" i="1"/>
  <c r="D363" i="1"/>
  <c r="C363" i="1"/>
  <c r="B363" i="1"/>
  <c r="N363" i="1" s="1"/>
  <c r="M362" i="1"/>
  <c r="L362" i="1"/>
  <c r="K362" i="1"/>
  <c r="J362" i="1"/>
  <c r="I362" i="1"/>
  <c r="H362" i="1"/>
  <c r="G362" i="1"/>
  <c r="F362" i="1"/>
  <c r="E362" i="1"/>
  <c r="D362" i="1"/>
  <c r="C362" i="1"/>
  <c r="B362" i="1"/>
  <c r="N362" i="1" s="1"/>
  <c r="N361" i="1"/>
  <c r="M359" i="1"/>
  <c r="L359" i="1"/>
  <c r="K359" i="1"/>
  <c r="J359" i="1"/>
  <c r="I359" i="1"/>
  <c r="H359" i="1"/>
  <c r="G359" i="1"/>
  <c r="F359" i="1"/>
  <c r="E359" i="1"/>
  <c r="D359" i="1"/>
  <c r="C359" i="1"/>
  <c r="B359" i="1"/>
  <c r="M358" i="1"/>
  <c r="L358" i="1"/>
  <c r="K358" i="1"/>
  <c r="J358" i="1"/>
  <c r="I358" i="1"/>
  <c r="H358" i="1"/>
  <c r="G358" i="1"/>
  <c r="F358" i="1"/>
  <c r="E358" i="1"/>
  <c r="D358" i="1"/>
  <c r="C358" i="1"/>
  <c r="B358" i="1"/>
  <c r="M357" i="1"/>
  <c r="L357" i="1"/>
  <c r="K357" i="1"/>
  <c r="J357" i="1"/>
  <c r="I357" i="1"/>
  <c r="H357" i="1"/>
  <c r="G357" i="1"/>
  <c r="F357" i="1"/>
  <c r="E357" i="1"/>
  <c r="D357" i="1"/>
  <c r="C357" i="1"/>
  <c r="B357" i="1"/>
  <c r="M356" i="1"/>
  <c r="L356" i="1"/>
  <c r="K356" i="1"/>
  <c r="J356" i="1"/>
  <c r="I356" i="1"/>
  <c r="H356" i="1"/>
  <c r="G356" i="1"/>
  <c r="F356" i="1"/>
  <c r="E356" i="1"/>
  <c r="D356" i="1"/>
  <c r="C356" i="1"/>
  <c r="B356" i="1"/>
  <c r="M355" i="1"/>
  <c r="L355" i="1"/>
  <c r="K355" i="1"/>
  <c r="J355" i="1"/>
  <c r="I355" i="1"/>
  <c r="H355" i="1"/>
  <c r="G355" i="1"/>
  <c r="F355" i="1"/>
  <c r="E355" i="1"/>
  <c r="D355" i="1"/>
  <c r="C355" i="1"/>
  <c r="B355" i="1"/>
  <c r="M354" i="1"/>
  <c r="L354" i="1"/>
  <c r="K354" i="1"/>
  <c r="J354" i="1"/>
  <c r="I354" i="1"/>
  <c r="H354" i="1"/>
  <c r="G354" i="1"/>
  <c r="F354" i="1"/>
  <c r="E354" i="1"/>
  <c r="D354" i="1"/>
  <c r="C354" i="1"/>
  <c r="B354" i="1"/>
  <c r="E353" i="1"/>
  <c r="M352" i="1"/>
  <c r="L352" i="1"/>
  <c r="K352" i="1"/>
  <c r="J352" i="1"/>
  <c r="I352" i="1"/>
  <c r="H352" i="1"/>
  <c r="G352" i="1"/>
  <c r="F352" i="1"/>
  <c r="E352" i="1"/>
  <c r="D352" i="1"/>
  <c r="C352" i="1"/>
  <c r="B352" i="1"/>
  <c r="N352" i="1" s="1"/>
  <c r="M351" i="1"/>
  <c r="L351" i="1"/>
  <c r="K351" i="1"/>
  <c r="J351" i="1"/>
  <c r="I351" i="1"/>
  <c r="H351" i="1"/>
  <c r="G351" i="1"/>
  <c r="F351" i="1"/>
  <c r="E351" i="1"/>
  <c r="D351" i="1"/>
  <c r="C351" i="1"/>
  <c r="B351" i="1"/>
  <c r="M350" i="1"/>
  <c r="L350" i="1"/>
  <c r="K350" i="1"/>
  <c r="J350" i="1"/>
  <c r="I350" i="1"/>
  <c r="H350" i="1"/>
  <c r="G350" i="1"/>
  <c r="F350" i="1"/>
  <c r="E350" i="1"/>
  <c r="D350" i="1"/>
  <c r="C350" i="1"/>
  <c r="B350" i="1"/>
  <c r="M349" i="1"/>
  <c r="M353" i="1" s="1"/>
  <c r="L349" i="1"/>
  <c r="L353" i="1" s="1"/>
  <c r="K349" i="1"/>
  <c r="K353" i="1" s="1"/>
  <c r="J349" i="1"/>
  <c r="J353" i="1" s="1"/>
  <c r="I349" i="1"/>
  <c r="I353" i="1" s="1"/>
  <c r="H349" i="1"/>
  <c r="H353" i="1" s="1"/>
  <c r="G349" i="1"/>
  <c r="G353" i="1" s="1"/>
  <c r="F349" i="1"/>
  <c r="F353" i="1" s="1"/>
  <c r="E349" i="1"/>
  <c r="D349" i="1"/>
  <c r="D353" i="1" s="1"/>
  <c r="C349" i="1"/>
  <c r="C353" i="1" s="1"/>
  <c r="B349" i="1"/>
  <c r="B353" i="1" s="1"/>
  <c r="B360" i="1" s="1"/>
  <c r="N348" i="1"/>
  <c r="M347" i="1"/>
  <c r="L347" i="1"/>
  <c r="K347" i="1"/>
  <c r="J347" i="1"/>
  <c r="I347" i="1"/>
  <c r="H347" i="1"/>
  <c r="G347" i="1"/>
  <c r="F347" i="1"/>
  <c r="E347" i="1"/>
  <c r="D347" i="1"/>
  <c r="C347" i="1"/>
  <c r="B347" i="1"/>
  <c r="M346" i="1"/>
  <c r="L346" i="1"/>
  <c r="K346" i="1"/>
  <c r="J346" i="1"/>
  <c r="I346" i="1"/>
  <c r="H346" i="1"/>
  <c r="G346" i="1"/>
  <c r="F346" i="1"/>
  <c r="E346" i="1"/>
  <c r="D346" i="1"/>
  <c r="C346" i="1"/>
  <c r="B346" i="1"/>
  <c r="M345" i="1"/>
  <c r="L345" i="1"/>
  <c r="K345" i="1"/>
  <c r="J345" i="1"/>
  <c r="I345" i="1"/>
  <c r="H345" i="1"/>
  <c r="G345" i="1"/>
  <c r="F345" i="1"/>
  <c r="E345" i="1"/>
  <c r="D345" i="1"/>
  <c r="C345" i="1"/>
  <c r="B345" i="1"/>
  <c r="M344" i="1"/>
  <c r="L344" i="1"/>
  <c r="K344" i="1"/>
  <c r="J344" i="1"/>
  <c r="I344" i="1"/>
  <c r="H344" i="1"/>
  <c r="G344" i="1"/>
  <c r="F344" i="1"/>
  <c r="E344" i="1"/>
  <c r="D344" i="1"/>
  <c r="C344" i="1"/>
  <c r="B344" i="1"/>
  <c r="M343" i="1"/>
  <c r="L343" i="1"/>
  <c r="K343" i="1"/>
  <c r="J343" i="1"/>
  <c r="I343" i="1"/>
  <c r="H343" i="1"/>
  <c r="G343" i="1"/>
  <c r="F343" i="1"/>
  <c r="E343" i="1"/>
  <c r="D343" i="1"/>
  <c r="C343" i="1"/>
  <c r="B343" i="1"/>
  <c r="M342" i="1"/>
  <c r="L342" i="1"/>
  <c r="K342" i="1"/>
  <c r="J342" i="1"/>
  <c r="I342" i="1"/>
  <c r="H342" i="1"/>
  <c r="G342" i="1"/>
  <c r="F342" i="1"/>
  <c r="E342" i="1"/>
  <c r="D342" i="1"/>
  <c r="C342" i="1"/>
  <c r="B342" i="1"/>
  <c r="M341" i="1"/>
  <c r="L341" i="1"/>
  <c r="K341" i="1"/>
  <c r="K360" i="1" s="1"/>
  <c r="J341" i="1"/>
  <c r="J360" i="1" s="1"/>
  <c r="I341" i="1"/>
  <c r="H341" i="1"/>
  <c r="G341" i="1"/>
  <c r="G360" i="1" s="1"/>
  <c r="F341" i="1"/>
  <c r="F360" i="1" s="1"/>
  <c r="E341" i="1"/>
  <c r="D341" i="1"/>
  <c r="C341" i="1"/>
  <c r="C360" i="1" s="1"/>
  <c r="B341" i="1"/>
  <c r="N340" i="1"/>
  <c r="C339" i="1"/>
  <c r="M338" i="1"/>
  <c r="L338" i="1"/>
  <c r="K338" i="1"/>
  <c r="J338" i="1"/>
  <c r="I338" i="1"/>
  <c r="H338" i="1"/>
  <c r="G338" i="1"/>
  <c r="F338" i="1"/>
  <c r="E338" i="1"/>
  <c r="D338" i="1"/>
  <c r="C338" i="1"/>
  <c r="B338" i="1"/>
  <c r="N338" i="1" s="1"/>
  <c r="M337" i="1"/>
  <c r="L337" i="1"/>
  <c r="K337" i="1"/>
  <c r="J337" i="1"/>
  <c r="I337" i="1"/>
  <c r="H337" i="1"/>
  <c r="G337" i="1"/>
  <c r="F337" i="1"/>
  <c r="E337" i="1"/>
  <c r="D337" i="1"/>
  <c r="C337" i="1"/>
  <c r="B337" i="1"/>
  <c r="N337" i="1" s="1"/>
  <c r="M336" i="1"/>
  <c r="L336" i="1"/>
  <c r="K336" i="1"/>
  <c r="J336" i="1"/>
  <c r="I336" i="1"/>
  <c r="H336" i="1"/>
  <c r="G336" i="1"/>
  <c r="F336" i="1"/>
  <c r="E336" i="1"/>
  <c r="D336" i="1"/>
  <c r="C336" i="1"/>
  <c r="B336" i="1"/>
  <c r="N336" i="1" s="1"/>
  <c r="K335" i="1"/>
  <c r="C335" i="1"/>
  <c r="M334" i="1"/>
  <c r="L334" i="1"/>
  <c r="K334" i="1"/>
  <c r="J334" i="1"/>
  <c r="I334" i="1"/>
  <c r="H334" i="1"/>
  <c r="G334" i="1"/>
  <c r="F334" i="1"/>
  <c r="E334" i="1"/>
  <c r="D334" i="1"/>
  <c r="C334" i="1"/>
  <c r="B334" i="1"/>
  <c r="N334" i="1" s="1"/>
  <c r="M333" i="1"/>
  <c r="L333" i="1"/>
  <c r="K333" i="1"/>
  <c r="J333" i="1"/>
  <c r="I333" i="1"/>
  <c r="H333" i="1"/>
  <c r="G333" i="1"/>
  <c r="F333" i="1"/>
  <c r="E333" i="1"/>
  <c r="D333" i="1"/>
  <c r="C333" i="1"/>
  <c r="B333" i="1"/>
  <c r="N333" i="1" s="1"/>
  <c r="M332" i="1"/>
  <c r="L332" i="1"/>
  <c r="K332" i="1"/>
  <c r="J332" i="1"/>
  <c r="J335" i="1" s="1"/>
  <c r="I332" i="1"/>
  <c r="H332" i="1"/>
  <c r="G332" i="1"/>
  <c r="G335" i="1" s="1"/>
  <c r="F332" i="1"/>
  <c r="F335" i="1" s="1"/>
  <c r="E332" i="1"/>
  <c r="D332" i="1"/>
  <c r="C332" i="1"/>
  <c r="B332" i="1"/>
  <c r="B335" i="1" s="1"/>
  <c r="N331" i="1"/>
  <c r="M330" i="1"/>
  <c r="L330" i="1"/>
  <c r="K330" i="1"/>
  <c r="J330" i="1"/>
  <c r="I330" i="1"/>
  <c r="H330" i="1"/>
  <c r="G330" i="1"/>
  <c r="F330" i="1"/>
  <c r="E330" i="1"/>
  <c r="D330" i="1"/>
  <c r="C330" i="1"/>
  <c r="B330" i="1"/>
  <c r="M329" i="1"/>
  <c r="L329" i="1"/>
  <c r="K329" i="1"/>
  <c r="J329" i="1"/>
  <c r="I329" i="1"/>
  <c r="H329" i="1"/>
  <c r="G329" i="1"/>
  <c r="F329" i="1"/>
  <c r="E329" i="1"/>
  <c r="D329" i="1"/>
  <c r="C329" i="1"/>
  <c r="B329" i="1"/>
  <c r="M328" i="1"/>
  <c r="L328" i="1"/>
  <c r="K328" i="1"/>
  <c r="J328" i="1"/>
  <c r="I328" i="1"/>
  <c r="H328" i="1"/>
  <c r="G328" i="1"/>
  <c r="F328" i="1"/>
  <c r="E328" i="1"/>
  <c r="D328" i="1"/>
  <c r="C328" i="1"/>
  <c r="B328" i="1"/>
  <c r="M327" i="1"/>
  <c r="L327" i="1"/>
  <c r="K327" i="1"/>
  <c r="J327" i="1"/>
  <c r="I327" i="1"/>
  <c r="H327" i="1"/>
  <c r="G327" i="1"/>
  <c r="F327" i="1"/>
  <c r="E327" i="1"/>
  <c r="D327" i="1"/>
  <c r="C327" i="1"/>
  <c r="B327" i="1"/>
  <c r="M326" i="1"/>
  <c r="L326" i="1"/>
  <c r="K326" i="1"/>
  <c r="J326" i="1"/>
  <c r="I326" i="1"/>
  <c r="H326" i="1"/>
  <c r="G326" i="1"/>
  <c r="F326" i="1"/>
  <c r="E326" i="1"/>
  <c r="D326" i="1"/>
  <c r="C326" i="1"/>
  <c r="B326" i="1"/>
  <c r="M325" i="1"/>
  <c r="L325" i="1"/>
  <c r="K325" i="1"/>
  <c r="J325" i="1"/>
  <c r="I325" i="1"/>
  <c r="H325" i="1"/>
  <c r="G325" i="1"/>
  <c r="F325" i="1"/>
  <c r="E325" i="1"/>
  <c r="D325" i="1"/>
  <c r="C325" i="1"/>
  <c r="B325" i="1"/>
  <c r="M324" i="1"/>
  <c r="L324" i="1"/>
  <c r="K324" i="1"/>
  <c r="K339" i="1" s="1"/>
  <c r="J324" i="1"/>
  <c r="I324" i="1"/>
  <c r="H324" i="1"/>
  <c r="G324" i="1"/>
  <c r="G339" i="1" s="1"/>
  <c r="F324" i="1"/>
  <c r="E324" i="1"/>
  <c r="D324" i="1"/>
  <c r="C324" i="1"/>
  <c r="B324" i="1"/>
  <c r="N323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M320" i="1"/>
  <c r="L320" i="1"/>
  <c r="K320" i="1"/>
  <c r="J320" i="1"/>
  <c r="I320" i="1"/>
  <c r="H320" i="1"/>
  <c r="G320" i="1"/>
  <c r="F320" i="1"/>
  <c r="E320" i="1"/>
  <c r="D320" i="1"/>
  <c r="C320" i="1"/>
  <c r="B320" i="1"/>
  <c r="M319" i="1"/>
  <c r="L319" i="1"/>
  <c r="K319" i="1"/>
  <c r="J319" i="1"/>
  <c r="I319" i="1"/>
  <c r="H319" i="1"/>
  <c r="G319" i="1"/>
  <c r="F319" i="1"/>
  <c r="E319" i="1"/>
  <c r="D319" i="1"/>
  <c r="C319" i="1"/>
  <c r="B319" i="1"/>
  <c r="M317" i="1"/>
  <c r="L317" i="1"/>
  <c r="K317" i="1"/>
  <c r="J317" i="1"/>
  <c r="I317" i="1"/>
  <c r="H317" i="1"/>
  <c r="G317" i="1"/>
  <c r="F317" i="1"/>
  <c r="E317" i="1"/>
  <c r="D317" i="1"/>
  <c r="C317" i="1"/>
  <c r="B317" i="1"/>
  <c r="M316" i="1"/>
  <c r="L316" i="1"/>
  <c r="K316" i="1"/>
  <c r="J316" i="1"/>
  <c r="I316" i="1"/>
  <c r="H316" i="1"/>
  <c r="G316" i="1"/>
  <c r="F316" i="1"/>
  <c r="E316" i="1"/>
  <c r="D316" i="1"/>
  <c r="C316" i="1"/>
  <c r="B316" i="1"/>
  <c r="M315" i="1"/>
  <c r="L315" i="1"/>
  <c r="L318" i="1" s="1"/>
  <c r="K315" i="1"/>
  <c r="J315" i="1"/>
  <c r="J318" i="1" s="1"/>
  <c r="I315" i="1"/>
  <c r="H315" i="1"/>
  <c r="H318" i="1" s="1"/>
  <c r="G315" i="1"/>
  <c r="G318" i="1" s="1"/>
  <c r="G322" i="1" s="1"/>
  <c r="F315" i="1"/>
  <c r="F318" i="1" s="1"/>
  <c r="E315" i="1"/>
  <c r="D315" i="1"/>
  <c r="D318" i="1" s="1"/>
  <c r="C315" i="1"/>
  <c r="B315" i="1"/>
  <c r="B318" i="1" s="1"/>
  <c r="N314" i="1"/>
  <c r="M313" i="1"/>
  <c r="L313" i="1"/>
  <c r="K313" i="1"/>
  <c r="J313" i="1"/>
  <c r="I313" i="1"/>
  <c r="H313" i="1"/>
  <c r="G313" i="1"/>
  <c r="F313" i="1"/>
  <c r="E313" i="1"/>
  <c r="D313" i="1"/>
  <c r="C313" i="1"/>
  <c r="B313" i="1"/>
  <c r="M312" i="1"/>
  <c r="L312" i="1"/>
  <c r="K312" i="1"/>
  <c r="J312" i="1"/>
  <c r="I312" i="1"/>
  <c r="H312" i="1"/>
  <c r="G312" i="1"/>
  <c r="F312" i="1"/>
  <c r="E312" i="1"/>
  <c r="D312" i="1"/>
  <c r="C312" i="1"/>
  <c r="B312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N310" i="1"/>
  <c r="M308" i="1"/>
  <c r="L308" i="1"/>
  <c r="K308" i="1"/>
  <c r="J308" i="1"/>
  <c r="I308" i="1"/>
  <c r="H308" i="1"/>
  <c r="G308" i="1"/>
  <c r="F308" i="1"/>
  <c r="E308" i="1"/>
  <c r="D308" i="1"/>
  <c r="C308" i="1"/>
  <c r="B308" i="1"/>
  <c r="M306" i="1"/>
  <c r="L306" i="1"/>
  <c r="K306" i="1"/>
  <c r="J306" i="1"/>
  <c r="I306" i="1"/>
  <c r="H306" i="1"/>
  <c r="G306" i="1"/>
  <c r="F306" i="1"/>
  <c r="E306" i="1"/>
  <c r="D306" i="1"/>
  <c r="C306" i="1"/>
  <c r="B306" i="1"/>
  <c r="M305" i="1"/>
  <c r="L305" i="1"/>
  <c r="K305" i="1"/>
  <c r="J305" i="1"/>
  <c r="I305" i="1"/>
  <c r="H305" i="1"/>
  <c r="G305" i="1"/>
  <c r="F305" i="1"/>
  <c r="E305" i="1"/>
  <c r="D305" i="1"/>
  <c r="C305" i="1"/>
  <c r="B305" i="1"/>
  <c r="M304" i="1"/>
  <c r="L304" i="1"/>
  <c r="L307" i="1" s="1"/>
  <c r="K304" i="1"/>
  <c r="J304" i="1"/>
  <c r="I304" i="1"/>
  <c r="H304" i="1"/>
  <c r="H307" i="1" s="1"/>
  <c r="G304" i="1"/>
  <c r="F304" i="1"/>
  <c r="E304" i="1"/>
  <c r="D304" i="1"/>
  <c r="D307" i="1" s="1"/>
  <c r="C304" i="1"/>
  <c r="B304" i="1"/>
  <c r="N303" i="1"/>
  <c r="M302" i="1"/>
  <c r="L302" i="1"/>
  <c r="K302" i="1"/>
  <c r="J302" i="1"/>
  <c r="I302" i="1"/>
  <c r="H302" i="1"/>
  <c r="G302" i="1"/>
  <c r="F302" i="1"/>
  <c r="E302" i="1"/>
  <c r="D302" i="1"/>
  <c r="C302" i="1"/>
  <c r="B302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M300" i="1"/>
  <c r="L300" i="1"/>
  <c r="K300" i="1"/>
  <c r="J300" i="1"/>
  <c r="I300" i="1"/>
  <c r="H300" i="1"/>
  <c r="G300" i="1"/>
  <c r="F300" i="1"/>
  <c r="E300" i="1"/>
  <c r="D300" i="1"/>
  <c r="C300" i="1"/>
  <c r="B300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M298" i="1"/>
  <c r="L298" i="1"/>
  <c r="K298" i="1"/>
  <c r="J298" i="1"/>
  <c r="I298" i="1"/>
  <c r="H298" i="1"/>
  <c r="G298" i="1"/>
  <c r="F298" i="1"/>
  <c r="E298" i="1"/>
  <c r="D298" i="1"/>
  <c r="C298" i="1"/>
  <c r="B298" i="1"/>
  <c r="N297" i="1"/>
  <c r="D296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N295" i="1" s="1"/>
  <c r="M294" i="1"/>
  <c r="L294" i="1"/>
  <c r="K294" i="1"/>
  <c r="J294" i="1"/>
  <c r="I294" i="1"/>
  <c r="H294" i="1"/>
  <c r="G294" i="1"/>
  <c r="F294" i="1"/>
  <c r="E294" i="1"/>
  <c r="D294" i="1"/>
  <c r="C294" i="1"/>
  <c r="B294" i="1"/>
  <c r="N294" i="1" s="1"/>
  <c r="M293" i="1"/>
  <c r="L293" i="1"/>
  <c r="K293" i="1"/>
  <c r="J293" i="1"/>
  <c r="I293" i="1"/>
  <c r="H293" i="1"/>
  <c r="G293" i="1"/>
  <c r="F293" i="1"/>
  <c r="E293" i="1"/>
  <c r="D293" i="1"/>
  <c r="C293" i="1"/>
  <c r="B293" i="1"/>
  <c r="N293" i="1" s="1"/>
  <c r="M292" i="1"/>
  <c r="L292" i="1"/>
  <c r="K292" i="1"/>
  <c r="J292" i="1"/>
  <c r="I292" i="1"/>
  <c r="H292" i="1"/>
  <c r="G292" i="1"/>
  <c r="F292" i="1"/>
  <c r="E292" i="1"/>
  <c r="D292" i="1"/>
  <c r="C292" i="1"/>
  <c r="B292" i="1"/>
  <c r="F291" i="1"/>
  <c r="E291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M288" i="1"/>
  <c r="M291" i="1" s="1"/>
  <c r="L288" i="1"/>
  <c r="L291" i="1" s="1"/>
  <c r="K288" i="1"/>
  <c r="J288" i="1"/>
  <c r="I288" i="1"/>
  <c r="H288" i="1"/>
  <c r="H291" i="1" s="1"/>
  <c r="G288" i="1"/>
  <c r="F288" i="1"/>
  <c r="E288" i="1"/>
  <c r="D288" i="1"/>
  <c r="D291" i="1" s="1"/>
  <c r="C288" i="1"/>
  <c r="B288" i="1"/>
  <c r="N287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N284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N279" i="1" s="1"/>
  <c r="M278" i="1"/>
  <c r="L278" i="1"/>
  <c r="K278" i="1"/>
  <c r="J278" i="1"/>
  <c r="I278" i="1"/>
  <c r="H278" i="1"/>
  <c r="G278" i="1"/>
  <c r="F278" i="1"/>
  <c r="E278" i="1"/>
  <c r="D278" i="1"/>
  <c r="C278" i="1"/>
  <c r="B278" i="1"/>
  <c r="N278" i="1" s="1"/>
  <c r="M277" i="1"/>
  <c r="M280" i="1" s="1"/>
  <c r="L277" i="1"/>
  <c r="L280" i="1" s="1"/>
  <c r="K277" i="1"/>
  <c r="J277" i="1"/>
  <c r="I277" i="1"/>
  <c r="I280" i="1" s="1"/>
  <c r="H277" i="1"/>
  <c r="H280" i="1" s="1"/>
  <c r="G277" i="1"/>
  <c r="F277" i="1"/>
  <c r="E277" i="1"/>
  <c r="E280" i="1" s="1"/>
  <c r="D277" i="1"/>
  <c r="D280" i="1" s="1"/>
  <c r="C277" i="1"/>
  <c r="B277" i="1"/>
  <c r="B280" i="1" s="1"/>
  <c r="N276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N268" i="1" s="1"/>
  <c r="M267" i="1"/>
  <c r="L267" i="1"/>
  <c r="K267" i="1"/>
  <c r="J267" i="1"/>
  <c r="I267" i="1"/>
  <c r="H267" i="1"/>
  <c r="G267" i="1"/>
  <c r="F267" i="1"/>
  <c r="E267" i="1"/>
  <c r="D267" i="1"/>
  <c r="C267" i="1"/>
  <c r="B267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N265" i="1"/>
  <c r="M263" i="1"/>
  <c r="J263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M261" i="1"/>
  <c r="L261" i="1"/>
  <c r="L263" i="1" s="1"/>
  <c r="L264" i="1" s="1"/>
  <c r="K261" i="1"/>
  <c r="K263" i="1" s="1"/>
  <c r="J261" i="1"/>
  <c r="I261" i="1"/>
  <c r="I263" i="1" s="1"/>
  <c r="H261" i="1"/>
  <c r="H263" i="1" s="1"/>
  <c r="G261" i="1"/>
  <c r="G263" i="1" s="1"/>
  <c r="F261" i="1"/>
  <c r="E261" i="1"/>
  <c r="E263" i="1" s="1"/>
  <c r="D261" i="1"/>
  <c r="D263" i="1" s="1"/>
  <c r="C261" i="1"/>
  <c r="C263" i="1" s="1"/>
  <c r="B261" i="1"/>
  <c r="B263" i="1" s="1"/>
  <c r="N260" i="1"/>
  <c r="M259" i="1"/>
  <c r="L259" i="1"/>
  <c r="K259" i="1"/>
  <c r="J259" i="1"/>
  <c r="I259" i="1"/>
  <c r="H259" i="1"/>
  <c r="G259" i="1"/>
  <c r="F259" i="1"/>
  <c r="E259" i="1"/>
  <c r="E264" i="1" s="1"/>
  <c r="D259" i="1"/>
  <c r="C259" i="1"/>
  <c r="B259" i="1"/>
  <c r="M258" i="1"/>
  <c r="L258" i="1"/>
  <c r="K258" i="1"/>
  <c r="J258" i="1"/>
  <c r="J264" i="1" s="1"/>
  <c r="I258" i="1"/>
  <c r="H258" i="1"/>
  <c r="G258" i="1"/>
  <c r="F258" i="1"/>
  <c r="E258" i="1"/>
  <c r="D258" i="1"/>
  <c r="C258" i="1"/>
  <c r="B258" i="1"/>
  <c r="N257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N250" i="1" s="1"/>
  <c r="M249" i="1"/>
  <c r="L249" i="1"/>
  <c r="K249" i="1"/>
  <c r="J249" i="1"/>
  <c r="I249" i="1"/>
  <c r="H249" i="1"/>
  <c r="G249" i="1"/>
  <c r="F249" i="1"/>
  <c r="E249" i="1"/>
  <c r="D249" i="1"/>
  <c r="C249" i="1"/>
  <c r="B249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N248" i="1" s="1"/>
  <c r="M247" i="1"/>
  <c r="M251" i="1" s="1"/>
  <c r="L247" i="1"/>
  <c r="K247" i="1"/>
  <c r="K251" i="1" s="1"/>
  <c r="J247" i="1"/>
  <c r="J251" i="1" s="1"/>
  <c r="I247" i="1"/>
  <c r="H247" i="1"/>
  <c r="G247" i="1"/>
  <c r="F247" i="1"/>
  <c r="F251" i="1" s="1"/>
  <c r="E247" i="1"/>
  <c r="D247" i="1"/>
  <c r="C247" i="1"/>
  <c r="B247" i="1"/>
  <c r="N247" i="1" s="1"/>
  <c r="N246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N241" i="1"/>
  <c r="N240" i="1"/>
  <c r="L237" i="1"/>
  <c r="H237" i="1"/>
  <c r="E237" i="1"/>
  <c r="C237" i="1"/>
  <c r="M236" i="1"/>
  <c r="M237" i="1" s="1"/>
  <c r="L236" i="1"/>
  <c r="K236" i="1"/>
  <c r="K237" i="1" s="1"/>
  <c r="J236" i="1"/>
  <c r="J237" i="1" s="1"/>
  <c r="I236" i="1"/>
  <c r="I237" i="1" s="1"/>
  <c r="H236" i="1"/>
  <c r="G236" i="1"/>
  <c r="G237" i="1" s="1"/>
  <c r="F236" i="1"/>
  <c r="F237" i="1" s="1"/>
  <c r="E236" i="1"/>
  <c r="D236" i="1"/>
  <c r="D237" i="1" s="1"/>
  <c r="C236" i="1"/>
  <c r="B236" i="1"/>
  <c r="B237" i="1" s="1"/>
  <c r="N235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D210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M208" i="1"/>
  <c r="M210" i="1" s="1"/>
  <c r="L208" i="1"/>
  <c r="L210" i="1" s="1"/>
  <c r="K208" i="1"/>
  <c r="J208" i="1"/>
  <c r="J210" i="1" s="1"/>
  <c r="I208" i="1"/>
  <c r="I210" i="1" s="1"/>
  <c r="H208" i="1"/>
  <c r="H210" i="1" s="1"/>
  <c r="G208" i="1"/>
  <c r="F208" i="1"/>
  <c r="F210" i="1" s="1"/>
  <c r="E208" i="1"/>
  <c r="E210" i="1" s="1"/>
  <c r="D208" i="1"/>
  <c r="C208" i="1"/>
  <c r="B208" i="1"/>
  <c r="B210" i="1" s="1"/>
  <c r="M207" i="1"/>
  <c r="L207" i="1"/>
  <c r="K207" i="1"/>
  <c r="J207" i="1"/>
  <c r="I207" i="1"/>
  <c r="H207" i="1"/>
  <c r="G207" i="1"/>
  <c r="F207" i="1"/>
  <c r="E207" i="1"/>
  <c r="D207" i="1"/>
  <c r="C207" i="1"/>
  <c r="B207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L204" i="1"/>
  <c r="E204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M202" i="1"/>
  <c r="L202" i="1"/>
  <c r="K202" i="1"/>
  <c r="K204" i="1" s="1"/>
  <c r="J202" i="1"/>
  <c r="J204" i="1" s="1"/>
  <c r="I202" i="1"/>
  <c r="H202" i="1"/>
  <c r="H204" i="1" s="1"/>
  <c r="G202" i="1"/>
  <c r="G204" i="1" s="1"/>
  <c r="F202" i="1"/>
  <c r="F204" i="1" s="1"/>
  <c r="E202" i="1"/>
  <c r="D202" i="1"/>
  <c r="D204" i="1" s="1"/>
  <c r="C202" i="1"/>
  <c r="C204" i="1" s="1"/>
  <c r="B202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M185" i="1"/>
  <c r="L185" i="1"/>
  <c r="K185" i="1"/>
  <c r="J185" i="1"/>
  <c r="I185" i="1"/>
  <c r="H185" i="1"/>
  <c r="G185" i="1"/>
  <c r="F185" i="1"/>
  <c r="E185" i="1"/>
  <c r="E192" i="1" s="1"/>
  <c r="D185" i="1"/>
  <c r="D192" i="1" s="1"/>
  <c r="C185" i="1"/>
  <c r="B185" i="1"/>
  <c r="N184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M172" i="1"/>
  <c r="I172" i="1"/>
  <c r="H172" i="1"/>
  <c r="M171" i="1"/>
  <c r="L171" i="1"/>
  <c r="L172" i="1" s="1"/>
  <c r="K171" i="1"/>
  <c r="K172" i="1" s="1"/>
  <c r="J171" i="1"/>
  <c r="J172" i="1" s="1"/>
  <c r="I171" i="1"/>
  <c r="H171" i="1"/>
  <c r="G171" i="1"/>
  <c r="G172" i="1" s="1"/>
  <c r="F171" i="1"/>
  <c r="F172" i="1" s="1"/>
  <c r="E171" i="1"/>
  <c r="E172" i="1" s="1"/>
  <c r="D171" i="1"/>
  <c r="D172" i="1" s="1"/>
  <c r="C171" i="1"/>
  <c r="C172" i="1" s="1"/>
  <c r="B171" i="1"/>
  <c r="N170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N166" i="1"/>
  <c r="N165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D160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M157" i="1"/>
  <c r="M160" i="1" s="1"/>
  <c r="L157" i="1"/>
  <c r="L160" i="1" s="1"/>
  <c r="K157" i="1"/>
  <c r="J157" i="1"/>
  <c r="I157" i="1"/>
  <c r="I160" i="1" s="1"/>
  <c r="H157" i="1"/>
  <c r="H160" i="1" s="1"/>
  <c r="G157" i="1"/>
  <c r="F157" i="1"/>
  <c r="E157" i="1"/>
  <c r="E160" i="1" s="1"/>
  <c r="D157" i="1"/>
  <c r="C157" i="1"/>
  <c r="B157" i="1"/>
  <c r="B160" i="1" s="1"/>
  <c r="N156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M142" i="1"/>
  <c r="L142" i="1"/>
  <c r="K142" i="1"/>
  <c r="J142" i="1"/>
  <c r="I142" i="1"/>
  <c r="H142" i="1"/>
  <c r="H164" i="1" s="1"/>
  <c r="G142" i="1"/>
  <c r="F142" i="1"/>
  <c r="E142" i="1"/>
  <c r="D142" i="1"/>
  <c r="D164" i="1" s="1"/>
  <c r="C142" i="1"/>
  <c r="B142" i="1"/>
  <c r="N141" i="1"/>
  <c r="N140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N138" i="1" s="1"/>
  <c r="M137" i="1"/>
  <c r="L137" i="1"/>
  <c r="K137" i="1"/>
  <c r="J137" i="1"/>
  <c r="I137" i="1"/>
  <c r="H137" i="1"/>
  <c r="G137" i="1"/>
  <c r="F137" i="1"/>
  <c r="E137" i="1"/>
  <c r="D137" i="1"/>
  <c r="C137" i="1"/>
  <c r="B137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N136" i="1" s="1"/>
  <c r="M135" i="1"/>
  <c r="L135" i="1"/>
  <c r="K135" i="1"/>
  <c r="J135" i="1"/>
  <c r="I135" i="1"/>
  <c r="H135" i="1"/>
  <c r="G135" i="1"/>
  <c r="F135" i="1"/>
  <c r="E135" i="1"/>
  <c r="D135" i="1"/>
  <c r="C135" i="1"/>
  <c r="B135" i="1"/>
  <c r="N135" i="1" s="1"/>
  <c r="M134" i="1"/>
  <c r="L134" i="1"/>
  <c r="K134" i="1"/>
  <c r="J134" i="1"/>
  <c r="I134" i="1"/>
  <c r="H134" i="1"/>
  <c r="G134" i="1"/>
  <c r="F134" i="1"/>
  <c r="E134" i="1"/>
  <c r="D134" i="1"/>
  <c r="C134" i="1"/>
  <c r="B134" i="1"/>
  <c r="N134" i="1" s="1"/>
  <c r="H133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M131" i="1"/>
  <c r="M133" i="1" s="1"/>
  <c r="L131" i="1"/>
  <c r="L133" i="1" s="1"/>
  <c r="K131" i="1"/>
  <c r="K133" i="1" s="1"/>
  <c r="J131" i="1"/>
  <c r="I131" i="1"/>
  <c r="I133" i="1" s="1"/>
  <c r="H131" i="1"/>
  <c r="G131" i="1"/>
  <c r="G133" i="1" s="1"/>
  <c r="F131" i="1"/>
  <c r="E131" i="1"/>
  <c r="E133" i="1" s="1"/>
  <c r="D131" i="1"/>
  <c r="C131" i="1"/>
  <c r="C133" i="1" s="1"/>
  <c r="B131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M123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M120" i="1"/>
  <c r="L120" i="1"/>
  <c r="L123" i="1" s="1"/>
  <c r="K120" i="1"/>
  <c r="J120" i="1"/>
  <c r="J123" i="1" s="1"/>
  <c r="I120" i="1"/>
  <c r="I123" i="1" s="1"/>
  <c r="H120" i="1"/>
  <c r="H123" i="1" s="1"/>
  <c r="G120" i="1"/>
  <c r="F120" i="1"/>
  <c r="F123" i="1" s="1"/>
  <c r="E120" i="1"/>
  <c r="E123" i="1" s="1"/>
  <c r="D120" i="1"/>
  <c r="D123" i="1" s="1"/>
  <c r="C120" i="1"/>
  <c r="B120" i="1"/>
  <c r="B123" i="1" s="1"/>
  <c r="N119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M113" i="1"/>
  <c r="L113" i="1"/>
  <c r="K113" i="1"/>
  <c r="J113" i="1"/>
  <c r="I113" i="1"/>
  <c r="H113" i="1"/>
  <c r="G113" i="1"/>
  <c r="F113" i="1"/>
  <c r="E113" i="1"/>
  <c r="E139" i="1" s="1"/>
  <c r="D113" i="1"/>
  <c r="C113" i="1"/>
  <c r="B113" i="1"/>
  <c r="N112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N110" i="1" s="1"/>
  <c r="M109" i="1"/>
  <c r="L109" i="1"/>
  <c r="K109" i="1"/>
  <c r="J109" i="1"/>
  <c r="I109" i="1"/>
  <c r="H109" i="1"/>
  <c r="G109" i="1"/>
  <c r="F109" i="1"/>
  <c r="E109" i="1"/>
  <c r="D109" i="1"/>
  <c r="C109" i="1"/>
  <c r="B109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N108" i="1" s="1"/>
  <c r="M107" i="1"/>
  <c r="L107" i="1"/>
  <c r="K107" i="1"/>
  <c r="J107" i="1"/>
  <c r="I107" i="1"/>
  <c r="H107" i="1"/>
  <c r="G107" i="1"/>
  <c r="F107" i="1"/>
  <c r="E107" i="1"/>
  <c r="D107" i="1"/>
  <c r="C107" i="1"/>
  <c r="B107" i="1"/>
  <c r="N107" i="1" s="1"/>
  <c r="M106" i="1"/>
  <c r="L106" i="1"/>
  <c r="K106" i="1"/>
  <c r="J106" i="1"/>
  <c r="I106" i="1"/>
  <c r="H106" i="1"/>
  <c r="G106" i="1"/>
  <c r="F106" i="1"/>
  <c r="E106" i="1"/>
  <c r="D106" i="1"/>
  <c r="C106" i="1"/>
  <c r="B106" i="1"/>
  <c r="N106" i="1" s="1"/>
  <c r="M105" i="1"/>
  <c r="L105" i="1"/>
  <c r="K105" i="1"/>
  <c r="J105" i="1"/>
  <c r="I105" i="1"/>
  <c r="H105" i="1"/>
  <c r="G105" i="1"/>
  <c r="F105" i="1"/>
  <c r="E105" i="1"/>
  <c r="D105" i="1"/>
  <c r="C105" i="1"/>
  <c r="B105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N104" i="1" s="1"/>
  <c r="M103" i="1"/>
  <c r="L103" i="1"/>
  <c r="K103" i="1"/>
  <c r="J103" i="1"/>
  <c r="I103" i="1"/>
  <c r="H103" i="1"/>
  <c r="G103" i="1"/>
  <c r="F103" i="1"/>
  <c r="E103" i="1"/>
  <c r="D103" i="1"/>
  <c r="C103" i="1"/>
  <c r="B103" i="1"/>
  <c r="N103" i="1" s="1"/>
  <c r="M102" i="1"/>
  <c r="L102" i="1"/>
  <c r="K102" i="1"/>
  <c r="J102" i="1"/>
  <c r="I102" i="1"/>
  <c r="H102" i="1"/>
  <c r="G102" i="1"/>
  <c r="F102" i="1"/>
  <c r="E102" i="1"/>
  <c r="D102" i="1"/>
  <c r="C102" i="1"/>
  <c r="B102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M99" i="1"/>
  <c r="L99" i="1"/>
  <c r="K99" i="1"/>
  <c r="J99" i="1"/>
  <c r="I99" i="1"/>
  <c r="H99" i="1"/>
  <c r="G99" i="1"/>
  <c r="F99" i="1"/>
  <c r="E99" i="1"/>
  <c r="D99" i="1"/>
  <c r="C99" i="1"/>
  <c r="B99" i="1"/>
  <c r="N99" i="1" s="1"/>
  <c r="M98" i="1"/>
  <c r="L98" i="1"/>
  <c r="K98" i="1"/>
  <c r="J98" i="1"/>
  <c r="I98" i="1"/>
  <c r="H98" i="1"/>
  <c r="G98" i="1"/>
  <c r="F98" i="1"/>
  <c r="E98" i="1"/>
  <c r="D98" i="1"/>
  <c r="C98" i="1"/>
  <c r="B98" i="1"/>
  <c r="N98" i="1" s="1"/>
  <c r="M97" i="1"/>
  <c r="L97" i="1"/>
  <c r="K97" i="1"/>
  <c r="J97" i="1"/>
  <c r="I97" i="1"/>
  <c r="H97" i="1"/>
  <c r="G97" i="1"/>
  <c r="F97" i="1"/>
  <c r="E97" i="1"/>
  <c r="D97" i="1"/>
  <c r="C97" i="1"/>
  <c r="B97" i="1"/>
  <c r="N97" i="1" s="1"/>
  <c r="M96" i="1"/>
  <c r="L96" i="1"/>
  <c r="K96" i="1"/>
  <c r="J96" i="1"/>
  <c r="I96" i="1"/>
  <c r="H96" i="1"/>
  <c r="G96" i="1"/>
  <c r="F96" i="1"/>
  <c r="E96" i="1"/>
  <c r="D96" i="1"/>
  <c r="C96" i="1"/>
  <c r="B96" i="1"/>
  <c r="N96" i="1" s="1"/>
  <c r="M95" i="1"/>
  <c r="L95" i="1"/>
  <c r="K95" i="1"/>
  <c r="J95" i="1"/>
  <c r="I95" i="1"/>
  <c r="H95" i="1"/>
  <c r="G95" i="1"/>
  <c r="F95" i="1"/>
  <c r="E95" i="1"/>
  <c r="D95" i="1"/>
  <c r="C95" i="1"/>
  <c r="B95" i="1"/>
  <c r="M94" i="1"/>
  <c r="L94" i="1"/>
  <c r="K94" i="1"/>
  <c r="J94" i="1"/>
  <c r="I94" i="1"/>
  <c r="H94" i="1"/>
  <c r="G94" i="1"/>
  <c r="F94" i="1"/>
  <c r="E94" i="1"/>
  <c r="D94" i="1"/>
  <c r="C94" i="1"/>
  <c r="B94" i="1"/>
  <c r="N94" i="1" s="1"/>
  <c r="M93" i="1"/>
  <c r="L93" i="1"/>
  <c r="K93" i="1"/>
  <c r="J93" i="1"/>
  <c r="I93" i="1"/>
  <c r="H93" i="1"/>
  <c r="G93" i="1"/>
  <c r="F93" i="1"/>
  <c r="E93" i="1"/>
  <c r="D93" i="1"/>
  <c r="C93" i="1"/>
  <c r="B93" i="1"/>
  <c r="N93" i="1" s="1"/>
  <c r="M92" i="1"/>
  <c r="L92" i="1"/>
  <c r="K92" i="1"/>
  <c r="J92" i="1"/>
  <c r="I92" i="1"/>
  <c r="H92" i="1"/>
  <c r="G92" i="1"/>
  <c r="F92" i="1"/>
  <c r="E92" i="1"/>
  <c r="D92" i="1"/>
  <c r="C92" i="1"/>
  <c r="B92" i="1"/>
  <c r="N92" i="1" s="1"/>
  <c r="F91" i="1"/>
  <c r="E91" i="1"/>
  <c r="M90" i="1"/>
  <c r="L90" i="1"/>
  <c r="K90" i="1"/>
  <c r="J90" i="1"/>
  <c r="I90" i="1"/>
  <c r="H90" i="1"/>
  <c r="G90" i="1"/>
  <c r="F90" i="1"/>
  <c r="E90" i="1"/>
  <c r="D90" i="1"/>
  <c r="C90" i="1"/>
  <c r="B90" i="1"/>
  <c r="M89" i="1"/>
  <c r="M91" i="1" s="1"/>
  <c r="L89" i="1"/>
  <c r="L91" i="1" s="1"/>
  <c r="K89" i="1"/>
  <c r="K91" i="1" s="1"/>
  <c r="J89" i="1"/>
  <c r="I89" i="1"/>
  <c r="I91" i="1" s="1"/>
  <c r="H89" i="1"/>
  <c r="H91" i="1" s="1"/>
  <c r="G89" i="1"/>
  <c r="G91" i="1" s="1"/>
  <c r="F89" i="1"/>
  <c r="E89" i="1"/>
  <c r="D89" i="1"/>
  <c r="D91" i="1" s="1"/>
  <c r="C89" i="1"/>
  <c r="C91" i="1" s="1"/>
  <c r="B89" i="1"/>
  <c r="M88" i="1"/>
  <c r="L88" i="1"/>
  <c r="K88" i="1"/>
  <c r="J88" i="1"/>
  <c r="I88" i="1"/>
  <c r="H88" i="1"/>
  <c r="G88" i="1"/>
  <c r="F88" i="1"/>
  <c r="E88" i="1"/>
  <c r="D88" i="1"/>
  <c r="C88" i="1"/>
  <c r="B88" i="1"/>
  <c r="M87" i="1"/>
  <c r="L87" i="1"/>
  <c r="K87" i="1"/>
  <c r="J87" i="1"/>
  <c r="I87" i="1"/>
  <c r="H87" i="1"/>
  <c r="G87" i="1"/>
  <c r="F87" i="1"/>
  <c r="E87" i="1"/>
  <c r="D87" i="1"/>
  <c r="C87" i="1"/>
  <c r="B87" i="1"/>
  <c r="M86" i="1"/>
  <c r="L86" i="1"/>
  <c r="K86" i="1"/>
  <c r="J86" i="1"/>
  <c r="I86" i="1"/>
  <c r="H86" i="1"/>
  <c r="G86" i="1"/>
  <c r="F86" i="1"/>
  <c r="E86" i="1"/>
  <c r="D86" i="1"/>
  <c r="C86" i="1"/>
  <c r="B86" i="1"/>
  <c r="M85" i="1"/>
  <c r="L85" i="1"/>
  <c r="K85" i="1"/>
  <c r="J85" i="1"/>
  <c r="I85" i="1"/>
  <c r="H85" i="1"/>
  <c r="G85" i="1"/>
  <c r="F85" i="1"/>
  <c r="E85" i="1"/>
  <c r="D85" i="1"/>
  <c r="C85" i="1"/>
  <c r="B85" i="1"/>
  <c r="M84" i="1"/>
  <c r="L84" i="1"/>
  <c r="K84" i="1"/>
  <c r="J84" i="1"/>
  <c r="I84" i="1"/>
  <c r="H84" i="1"/>
  <c r="G84" i="1"/>
  <c r="F84" i="1"/>
  <c r="E84" i="1"/>
  <c r="D84" i="1"/>
  <c r="C84" i="1"/>
  <c r="B84" i="1"/>
  <c r="M83" i="1"/>
  <c r="L83" i="1"/>
  <c r="K83" i="1"/>
  <c r="J83" i="1"/>
  <c r="I83" i="1"/>
  <c r="H83" i="1"/>
  <c r="G83" i="1"/>
  <c r="F83" i="1"/>
  <c r="E83" i="1"/>
  <c r="D83" i="1"/>
  <c r="C83" i="1"/>
  <c r="B83" i="1"/>
  <c r="M82" i="1"/>
  <c r="L82" i="1"/>
  <c r="K82" i="1"/>
  <c r="J82" i="1"/>
  <c r="I82" i="1"/>
  <c r="H82" i="1"/>
  <c r="G82" i="1"/>
  <c r="F82" i="1"/>
  <c r="E82" i="1"/>
  <c r="D82" i="1"/>
  <c r="C82" i="1"/>
  <c r="B82" i="1"/>
  <c r="M81" i="1"/>
  <c r="L81" i="1"/>
  <c r="K81" i="1"/>
  <c r="J81" i="1"/>
  <c r="I81" i="1"/>
  <c r="H81" i="1"/>
  <c r="G81" i="1"/>
  <c r="F81" i="1"/>
  <c r="E81" i="1"/>
  <c r="D81" i="1"/>
  <c r="C81" i="1"/>
  <c r="B81" i="1"/>
  <c r="M80" i="1"/>
  <c r="L80" i="1"/>
  <c r="K80" i="1"/>
  <c r="J80" i="1"/>
  <c r="I80" i="1"/>
  <c r="H80" i="1"/>
  <c r="G80" i="1"/>
  <c r="F80" i="1"/>
  <c r="E80" i="1"/>
  <c r="D80" i="1"/>
  <c r="C80" i="1"/>
  <c r="B80" i="1"/>
  <c r="M78" i="1"/>
  <c r="L78" i="1"/>
  <c r="K78" i="1"/>
  <c r="J78" i="1"/>
  <c r="I78" i="1"/>
  <c r="H78" i="1"/>
  <c r="G78" i="1"/>
  <c r="F78" i="1"/>
  <c r="E78" i="1"/>
  <c r="D78" i="1"/>
  <c r="C78" i="1"/>
  <c r="B78" i="1"/>
  <c r="M77" i="1"/>
  <c r="L77" i="1"/>
  <c r="K77" i="1"/>
  <c r="J77" i="1"/>
  <c r="I77" i="1"/>
  <c r="H77" i="1"/>
  <c r="G77" i="1"/>
  <c r="F77" i="1"/>
  <c r="E77" i="1"/>
  <c r="D77" i="1"/>
  <c r="C77" i="1"/>
  <c r="B77" i="1"/>
  <c r="M76" i="1"/>
  <c r="M79" i="1" s="1"/>
  <c r="L76" i="1"/>
  <c r="L79" i="1" s="1"/>
  <c r="K76" i="1"/>
  <c r="J76" i="1"/>
  <c r="I76" i="1"/>
  <c r="I79" i="1" s="1"/>
  <c r="H76" i="1"/>
  <c r="H79" i="1" s="1"/>
  <c r="G76" i="1"/>
  <c r="F76" i="1"/>
  <c r="F79" i="1" s="1"/>
  <c r="E76" i="1"/>
  <c r="E79" i="1" s="1"/>
  <c r="D76" i="1"/>
  <c r="D79" i="1" s="1"/>
  <c r="C76" i="1"/>
  <c r="B76" i="1"/>
  <c r="N75" i="1"/>
  <c r="M74" i="1"/>
  <c r="L74" i="1"/>
  <c r="K74" i="1"/>
  <c r="J74" i="1"/>
  <c r="I74" i="1"/>
  <c r="H74" i="1"/>
  <c r="G74" i="1"/>
  <c r="F74" i="1"/>
  <c r="E74" i="1"/>
  <c r="D74" i="1"/>
  <c r="C74" i="1"/>
  <c r="B74" i="1"/>
  <c r="M73" i="1"/>
  <c r="L73" i="1"/>
  <c r="K73" i="1"/>
  <c r="J73" i="1"/>
  <c r="I73" i="1"/>
  <c r="H73" i="1"/>
  <c r="G73" i="1"/>
  <c r="F73" i="1"/>
  <c r="E73" i="1"/>
  <c r="D73" i="1"/>
  <c r="C73" i="1"/>
  <c r="B73" i="1"/>
  <c r="M72" i="1"/>
  <c r="L72" i="1"/>
  <c r="K72" i="1"/>
  <c r="J72" i="1"/>
  <c r="I72" i="1"/>
  <c r="H72" i="1"/>
  <c r="G72" i="1"/>
  <c r="F72" i="1"/>
  <c r="E72" i="1"/>
  <c r="D72" i="1"/>
  <c r="C72" i="1"/>
  <c r="B72" i="1"/>
  <c r="N71" i="1"/>
  <c r="J66" i="1"/>
  <c r="M65" i="1"/>
  <c r="L65" i="1"/>
  <c r="K65" i="1"/>
  <c r="J65" i="1"/>
  <c r="I65" i="1"/>
  <c r="H65" i="1"/>
  <c r="G65" i="1"/>
  <c r="F65" i="1"/>
  <c r="E65" i="1"/>
  <c r="D65" i="1"/>
  <c r="C65" i="1"/>
  <c r="B65" i="1"/>
  <c r="M64" i="1"/>
  <c r="L64" i="1"/>
  <c r="K64" i="1"/>
  <c r="J64" i="1"/>
  <c r="I64" i="1"/>
  <c r="H64" i="1"/>
  <c r="G64" i="1"/>
  <c r="F64" i="1"/>
  <c r="E64" i="1"/>
  <c r="D64" i="1"/>
  <c r="C64" i="1"/>
  <c r="B64" i="1"/>
  <c r="M63" i="1"/>
  <c r="L63" i="1"/>
  <c r="K63" i="1"/>
  <c r="J63" i="1"/>
  <c r="I63" i="1"/>
  <c r="H63" i="1"/>
  <c r="G63" i="1"/>
  <c r="F63" i="1"/>
  <c r="E63" i="1"/>
  <c r="D63" i="1"/>
  <c r="C63" i="1"/>
  <c r="B63" i="1"/>
  <c r="M62" i="1"/>
  <c r="L62" i="1"/>
  <c r="K62" i="1"/>
  <c r="J62" i="1"/>
  <c r="I62" i="1"/>
  <c r="H62" i="1"/>
  <c r="G62" i="1"/>
  <c r="F62" i="1"/>
  <c r="E62" i="1"/>
  <c r="D62" i="1"/>
  <c r="C62" i="1"/>
  <c r="B62" i="1"/>
  <c r="M61" i="1"/>
  <c r="L61" i="1"/>
  <c r="K61" i="1"/>
  <c r="J61" i="1"/>
  <c r="I61" i="1"/>
  <c r="H61" i="1"/>
  <c r="G61" i="1"/>
  <c r="F61" i="1"/>
  <c r="E61" i="1"/>
  <c r="D61" i="1"/>
  <c r="C61" i="1"/>
  <c r="B61" i="1"/>
  <c r="M60" i="1"/>
  <c r="L60" i="1"/>
  <c r="K60" i="1"/>
  <c r="J60" i="1"/>
  <c r="I60" i="1"/>
  <c r="H60" i="1"/>
  <c r="G60" i="1"/>
  <c r="F60" i="1"/>
  <c r="E60" i="1"/>
  <c r="D60" i="1"/>
  <c r="C60" i="1"/>
  <c r="B60" i="1"/>
  <c r="M59" i="1"/>
  <c r="M66" i="1" s="1"/>
  <c r="L59" i="1"/>
  <c r="K59" i="1"/>
  <c r="J59" i="1"/>
  <c r="I59" i="1"/>
  <c r="I66" i="1" s="1"/>
  <c r="H59" i="1"/>
  <c r="G59" i="1"/>
  <c r="F59" i="1"/>
  <c r="E59" i="1"/>
  <c r="E66" i="1" s="1"/>
  <c r="D59" i="1"/>
  <c r="C59" i="1"/>
  <c r="B59" i="1"/>
  <c r="B66" i="1" s="1"/>
  <c r="N58" i="1"/>
  <c r="J57" i="1"/>
  <c r="G57" i="1"/>
  <c r="M56" i="1"/>
  <c r="M57" i="1" s="1"/>
  <c r="L56" i="1"/>
  <c r="L57" i="1" s="1"/>
  <c r="K56" i="1"/>
  <c r="K57" i="1" s="1"/>
  <c r="J56" i="1"/>
  <c r="I56" i="1"/>
  <c r="I57" i="1" s="1"/>
  <c r="H56" i="1"/>
  <c r="H57" i="1" s="1"/>
  <c r="G56" i="1"/>
  <c r="F56" i="1"/>
  <c r="F57" i="1" s="1"/>
  <c r="E56" i="1"/>
  <c r="E57" i="1" s="1"/>
  <c r="D56" i="1"/>
  <c r="D57" i="1" s="1"/>
  <c r="C56" i="1"/>
  <c r="C57" i="1" s="1"/>
  <c r="B56" i="1"/>
  <c r="N55" i="1"/>
  <c r="M54" i="1"/>
  <c r="E54" i="1"/>
  <c r="M53" i="1"/>
  <c r="L53" i="1"/>
  <c r="K53" i="1"/>
  <c r="J53" i="1"/>
  <c r="I53" i="1"/>
  <c r="H53" i="1"/>
  <c r="G53" i="1"/>
  <c r="F53" i="1"/>
  <c r="E53" i="1"/>
  <c r="D53" i="1"/>
  <c r="C53" i="1"/>
  <c r="B53" i="1"/>
  <c r="M52" i="1"/>
  <c r="L52" i="1"/>
  <c r="L54" i="1" s="1"/>
  <c r="K52" i="1"/>
  <c r="K54" i="1" s="1"/>
  <c r="J52" i="1"/>
  <c r="I52" i="1"/>
  <c r="I54" i="1" s="1"/>
  <c r="H52" i="1"/>
  <c r="H54" i="1" s="1"/>
  <c r="G52" i="1"/>
  <c r="G54" i="1" s="1"/>
  <c r="F52" i="1"/>
  <c r="E52" i="1"/>
  <c r="D52" i="1"/>
  <c r="D54" i="1" s="1"/>
  <c r="C52" i="1"/>
  <c r="C54" i="1" s="1"/>
  <c r="B52" i="1"/>
  <c r="N52" i="1" s="1"/>
  <c r="N51" i="1"/>
  <c r="M50" i="1"/>
  <c r="I50" i="1"/>
  <c r="E50" i="1"/>
  <c r="M49" i="1"/>
  <c r="L49" i="1"/>
  <c r="K49" i="1"/>
  <c r="J49" i="1"/>
  <c r="I49" i="1"/>
  <c r="H49" i="1"/>
  <c r="G49" i="1"/>
  <c r="F49" i="1"/>
  <c r="E49" i="1"/>
  <c r="D49" i="1"/>
  <c r="C49" i="1"/>
  <c r="B49" i="1"/>
  <c r="M48" i="1"/>
  <c r="L48" i="1"/>
  <c r="K48" i="1"/>
  <c r="J48" i="1"/>
  <c r="I48" i="1"/>
  <c r="H48" i="1"/>
  <c r="G48" i="1"/>
  <c r="F48" i="1"/>
  <c r="E48" i="1"/>
  <c r="D48" i="1"/>
  <c r="C48" i="1"/>
  <c r="B48" i="1"/>
  <c r="M47" i="1"/>
  <c r="L47" i="1"/>
  <c r="L50" i="1" s="1"/>
  <c r="K47" i="1"/>
  <c r="J47" i="1"/>
  <c r="J50" i="1" s="1"/>
  <c r="I47" i="1"/>
  <c r="H47" i="1"/>
  <c r="H50" i="1" s="1"/>
  <c r="G47" i="1"/>
  <c r="F47" i="1"/>
  <c r="E47" i="1"/>
  <c r="D47" i="1"/>
  <c r="D50" i="1" s="1"/>
  <c r="C47" i="1"/>
  <c r="B47" i="1"/>
  <c r="B50" i="1" s="1"/>
  <c r="N46" i="1"/>
  <c r="J45" i="1"/>
  <c r="F45" i="1"/>
  <c r="M44" i="1"/>
  <c r="L44" i="1"/>
  <c r="K44" i="1"/>
  <c r="J44" i="1"/>
  <c r="I44" i="1"/>
  <c r="H44" i="1"/>
  <c r="G44" i="1"/>
  <c r="F44" i="1"/>
  <c r="E44" i="1"/>
  <c r="D44" i="1"/>
  <c r="C44" i="1"/>
  <c r="B44" i="1"/>
  <c r="M43" i="1"/>
  <c r="L43" i="1"/>
  <c r="K43" i="1"/>
  <c r="J43" i="1"/>
  <c r="I43" i="1"/>
  <c r="H43" i="1"/>
  <c r="G43" i="1"/>
  <c r="F43" i="1"/>
  <c r="E43" i="1"/>
  <c r="D43" i="1"/>
  <c r="C43" i="1"/>
  <c r="B43" i="1"/>
  <c r="M42" i="1"/>
  <c r="M45" i="1" s="1"/>
  <c r="L42" i="1"/>
  <c r="K42" i="1"/>
  <c r="J42" i="1"/>
  <c r="I42" i="1"/>
  <c r="I45" i="1" s="1"/>
  <c r="H42" i="1"/>
  <c r="G42" i="1"/>
  <c r="F42" i="1"/>
  <c r="E42" i="1"/>
  <c r="E45" i="1" s="1"/>
  <c r="D42" i="1"/>
  <c r="C42" i="1"/>
  <c r="B42" i="1"/>
  <c r="N41" i="1"/>
  <c r="N40" i="1"/>
  <c r="M38" i="1"/>
  <c r="L38" i="1"/>
  <c r="K38" i="1"/>
  <c r="J38" i="1"/>
  <c r="I38" i="1"/>
  <c r="H38" i="1"/>
  <c r="G38" i="1"/>
  <c r="F38" i="1"/>
  <c r="E38" i="1"/>
  <c r="D38" i="1"/>
  <c r="C38" i="1"/>
  <c r="B38" i="1"/>
  <c r="M36" i="1"/>
  <c r="L36" i="1"/>
  <c r="K36" i="1"/>
  <c r="J36" i="1"/>
  <c r="I36" i="1"/>
  <c r="H36" i="1"/>
  <c r="G36" i="1"/>
  <c r="F36" i="1"/>
  <c r="E36" i="1"/>
  <c r="D36" i="1"/>
  <c r="C36" i="1"/>
  <c r="B36" i="1"/>
  <c r="M35" i="1"/>
  <c r="L35" i="1"/>
  <c r="K35" i="1"/>
  <c r="J35" i="1"/>
  <c r="I35" i="1"/>
  <c r="H35" i="1"/>
  <c r="G35" i="1"/>
  <c r="F35" i="1"/>
  <c r="E35" i="1"/>
  <c r="D35" i="1"/>
  <c r="C35" i="1"/>
  <c r="B35" i="1"/>
  <c r="M34" i="1"/>
  <c r="L34" i="1"/>
  <c r="K34" i="1"/>
  <c r="J34" i="1"/>
  <c r="I34" i="1"/>
  <c r="H34" i="1"/>
  <c r="G34" i="1"/>
  <c r="F34" i="1"/>
  <c r="E34" i="1"/>
  <c r="D34" i="1"/>
  <c r="C34" i="1"/>
  <c r="B34" i="1"/>
  <c r="M33" i="1"/>
  <c r="L33" i="1"/>
  <c r="K33" i="1"/>
  <c r="J33" i="1"/>
  <c r="I33" i="1"/>
  <c r="H33" i="1"/>
  <c r="G33" i="1"/>
  <c r="F33" i="1"/>
  <c r="E33" i="1"/>
  <c r="D33" i="1"/>
  <c r="C33" i="1"/>
  <c r="B33" i="1"/>
  <c r="M32" i="1"/>
  <c r="L32" i="1"/>
  <c r="K32" i="1"/>
  <c r="J32" i="1"/>
  <c r="I32" i="1"/>
  <c r="H32" i="1"/>
  <c r="G32" i="1"/>
  <c r="F32" i="1"/>
  <c r="E32" i="1"/>
  <c r="D32" i="1"/>
  <c r="C32" i="1"/>
  <c r="B32" i="1"/>
  <c r="M31" i="1"/>
  <c r="L31" i="1"/>
  <c r="K31" i="1"/>
  <c r="J31" i="1"/>
  <c r="I31" i="1"/>
  <c r="H31" i="1"/>
  <c r="G31" i="1"/>
  <c r="F31" i="1"/>
  <c r="E31" i="1"/>
  <c r="D31" i="1"/>
  <c r="C31" i="1"/>
  <c r="B31" i="1"/>
  <c r="M30" i="1"/>
  <c r="L30" i="1"/>
  <c r="K30" i="1"/>
  <c r="J30" i="1"/>
  <c r="J37" i="1" s="1"/>
  <c r="I30" i="1"/>
  <c r="H30" i="1"/>
  <c r="G30" i="1"/>
  <c r="F30" i="1"/>
  <c r="E30" i="1"/>
  <c r="D30" i="1"/>
  <c r="C30" i="1"/>
  <c r="B30" i="1"/>
  <c r="N29" i="1"/>
  <c r="M28" i="1"/>
  <c r="L28" i="1"/>
  <c r="K28" i="1"/>
  <c r="J28" i="1"/>
  <c r="I28" i="1"/>
  <c r="H28" i="1"/>
  <c r="G28" i="1"/>
  <c r="F28" i="1"/>
  <c r="E28" i="1"/>
  <c r="D28" i="1"/>
  <c r="C28" i="1"/>
  <c r="B28" i="1"/>
  <c r="M27" i="1"/>
  <c r="L27" i="1"/>
  <c r="K27" i="1"/>
  <c r="J27" i="1"/>
  <c r="I27" i="1"/>
  <c r="H27" i="1"/>
  <c r="G27" i="1"/>
  <c r="F27" i="1"/>
  <c r="E27" i="1"/>
  <c r="D27" i="1"/>
  <c r="C27" i="1"/>
  <c r="B27" i="1"/>
  <c r="N26" i="1"/>
  <c r="M24" i="1"/>
  <c r="L24" i="1"/>
  <c r="K24" i="1"/>
  <c r="J24" i="1"/>
  <c r="I24" i="1"/>
  <c r="H24" i="1"/>
  <c r="G24" i="1"/>
  <c r="F24" i="1"/>
  <c r="E24" i="1"/>
  <c r="D24" i="1"/>
  <c r="C24" i="1"/>
  <c r="B24" i="1"/>
  <c r="M23" i="1"/>
  <c r="L23" i="1"/>
  <c r="K23" i="1"/>
  <c r="J23" i="1"/>
  <c r="I23" i="1"/>
  <c r="H23" i="1"/>
  <c r="G23" i="1"/>
  <c r="F23" i="1"/>
  <c r="E23" i="1"/>
  <c r="D23" i="1"/>
  <c r="C23" i="1"/>
  <c r="B23" i="1"/>
  <c r="M22" i="1"/>
  <c r="L22" i="1"/>
  <c r="K22" i="1"/>
  <c r="J22" i="1"/>
  <c r="I22" i="1"/>
  <c r="H22" i="1"/>
  <c r="G22" i="1"/>
  <c r="F22" i="1"/>
  <c r="E22" i="1"/>
  <c r="D22" i="1"/>
  <c r="C22" i="1"/>
  <c r="B22" i="1"/>
  <c r="M21" i="1"/>
  <c r="L21" i="1"/>
  <c r="K21" i="1"/>
  <c r="J21" i="1"/>
  <c r="I21" i="1"/>
  <c r="H21" i="1"/>
  <c r="G21" i="1"/>
  <c r="F21" i="1"/>
  <c r="E21" i="1"/>
  <c r="D21" i="1"/>
  <c r="C21" i="1"/>
  <c r="B21" i="1"/>
  <c r="M20" i="1"/>
  <c r="L20" i="1"/>
  <c r="K20" i="1"/>
  <c r="J20" i="1"/>
  <c r="I20" i="1"/>
  <c r="H20" i="1"/>
  <c r="G20" i="1"/>
  <c r="F20" i="1"/>
  <c r="E20" i="1"/>
  <c r="D20" i="1"/>
  <c r="C20" i="1"/>
  <c r="B20" i="1"/>
  <c r="M19" i="1"/>
  <c r="L19" i="1"/>
  <c r="K19" i="1"/>
  <c r="J19" i="1"/>
  <c r="I19" i="1"/>
  <c r="H19" i="1"/>
  <c r="G19" i="1"/>
  <c r="F19" i="1"/>
  <c r="E19" i="1"/>
  <c r="D19" i="1"/>
  <c r="C19" i="1"/>
  <c r="B19" i="1"/>
  <c r="M18" i="1"/>
  <c r="L18" i="1"/>
  <c r="K18" i="1"/>
  <c r="J18" i="1"/>
  <c r="I18" i="1"/>
  <c r="H18" i="1"/>
  <c r="G18" i="1"/>
  <c r="F18" i="1"/>
  <c r="E18" i="1"/>
  <c r="D18" i="1"/>
  <c r="C18" i="1"/>
  <c r="B18" i="1"/>
  <c r="M17" i="1"/>
  <c r="L17" i="1"/>
  <c r="L25" i="1" s="1"/>
  <c r="K17" i="1"/>
  <c r="K25" i="1" s="1"/>
  <c r="J17" i="1"/>
  <c r="J25" i="1" s="1"/>
  <c r="I17" i="1"/>
  <c r="H17" i="1"/>
  <c r="H25" i="1" s="1"/>
  <c r="G17" i="1"/>
  <c r="F17" i="1"/>
  <c r="E17" i="1"/>
  <c r="D17" i="1"/>
  <c r="D25" i="1" s="1"/>
  <c r="C17" i="1"/>
  <c r="C25" i="1" s="1"/>
  <c r="B17" i="1"/>
  <c r="B25" i="1" s="1"/>
  <c r="N16" i="1"/>
  <c r="J14" i="1"/>
  <c r="I14" i="1"/>
  <c r="E14" i="1"/>
  <c r="E15" i="1" s="1"/>
  <c r="M13" i="1"/>
  <c r="L13" i="1"/>
  <c r="K13" i="1"/>
  <c r="J13" i="1"/>
  <c r="I13" i="1"/>
  <c r="H13" i="1"/>
  <c r="G13" i="1"/>
  <c r="F13" i="1"/>
  <c r="E13" i="1"/>
  <c r="D13" i="1"/>
  <c r="C13" i="1"/>
  <c r="B13" i="1"/>
  <c r="M12" i="1"/>
  <c r="L12" i="1"/>
  <c r="K12" i="1"/>
  <c r="J12" i="1"/>
  <c r="I12" i="1"/>
  <c r="H12" i="1"/>
  <c r="G12" i="1"/>
  <c r="F12" i="1"/>
  <c r="E12" i="1"/>
  <c r="D12" i="1"/>
  <c r="C12" i="1"/>
  <c r="B12" i="1"/>
  <c r="M11" i="1"/>
  <c r="M14" i="1" s="1"/>
  <c r="L11" i="1"/>
  <c r="L14" i="1" s="1"/>
  <c r="K11" i="1"/>
  <c r="J11" i="1"/>
  <c r="I11" i="1"/>
  <c r="H11" i="1"/>
  <c r="H14" i="1" s="1"/>
  <c r="G11" i="1"/>
  <c r="F11" i="1"/>
  <c r="E11" i="1"/>
  <c r="D11" i="1"/>
  <c r="D14" i="1" s="1"/>
  <c r="C11" i="1"/>
  <c r="B11" i="1"/>
  <c r="B14" i="1" s="1"/>
  <c r="N10" i="1"/>
  <c r="M9" i="1"/>
  <c r="M15" i="1" s="1"/>
  <c r="L9" i="1"/>
  <c r="K9" i="1"/>
  <c r="J9" i="1"/>
  <c r="I9" i="1"/>
  <c r="H9" i="1"/>
  <c r="G9" i="1"/>
  <c r="F9" i="1"/>
  <c r="E9" i="1"/>
  <c r="D9" i="1"/>
  <c r="C9" i="1"/>
  <c r="B9" i="1"/>
  <c r="N8" i="1"/>
  <c r="M7" i="1"/>
  <c r="L7" i="1"/>
  <c r="K7" i="1"/>
  <c r="J7" i="1"/>
  <c r="I7" i="1"/>
  <c r="H7" i="1"/>
  <c r="G7" i="1"/>
  <c r="F7" i="1"/>
  <c r="E7" i="1"/>
  <c r="D7" i="1"/>
  <c r="C7" i="1"/>
  <c r="B7" i="1"/>
  <c r="C14" i="1" l="1"/>
  <c r="G14" i="1"/>
  <c r="C45" i="1"/>
  <c r="C50" i="1"/>
  <c r="N50" i="1" s="1"/>
  <c r="K50" i="1"/>
  <c r="F54" i="1"/>
  <c r="B251" i="1"/>
  <c r="L309" i="1"/>
  <c r="M318" i="1"/>
  <c r="M322" i="1" s="1"/>
  <c r="B376" i="1"/>
  <c r="J376" i="1"/>
  <c r="H15" i="1"/>
  <c r="I15" i="1"/>
  <c r="N30" i="1"/>
  <c r="N31" i="1"/>
  <c r="N33" i="1"/>
  <c r="N34" i="1"/>
  <c r="H45" i="1"/>
  <c r="N74" i="1"/>
  <c r="I264" i="1"/>
  <c r="M264" i="1"/>
  <c r="J396" i="1"/>
  <c r="N391" i="1"/>
  <c r="N392" i="1"/>
  <c r="C37" i="1"/>
  <c r="K37" i="1"/>
  <c r="E67" i="1"/>
  <c r="M67" i="1"/>
  <c r="F111" i="1"/>
  <c r="N155" i="1"/>
  <c r="H192" i="1"/>
  <c r="N205" i="1"/>
  <c r="N206" i="1"/>
  <c r="N207" i="1"/>
  <c r="N259" i="1"/>
  <c r="N269" i="1"/>
  <c r="N270" i="1"/>
  <c r="N271" i="1"/>
  <c r="N275" i="1"/>
  <c r="N289" i="1"/>
  <c r="N290" i="1"/>
  <c r="N325" i="1"/>
  <c r="N327" i="1"/>
  <c r="N328" i="1"/>
  <c r="N356" i="1"/>
  <c r="N357" i="1"/>
  <c r="N358" i="1"/>
  <c r="N359" i="1"/>
  <c r="N412" i="1"/>
  <c r="N413" i="1"/>
  <c r="N414" i="1"/>
  <c r="C435" i="1"/>
  <c r="G435" i="1"/>
  <c r="K435" i="1"/>
  <c r="B432" i="1"/>
  <c r="N432" i="1" s="1"/>
  <c r="K14" i="1"/>
  <c r="G25" i="1"/>
  <c r="G45" i="1"/>
  <c r="K45" i="1"/>
  <c r="K67" i="1" s="1"/>
  <c r="G50" i="1"/>
  <c r="B54" i="1"/>
  <c r="J54" i="1"/>
  <c r="D239" i="1"/>
  <c r="D309" i="1"/>
  <c r="E318" i="1"/>
  <c r="E322" i="1" s="1"/>
  <c r="F376" i="1"/>
  <c r="D15" i="1"/>
  <c r="L15" i="1"/>
  <c r="N32" i="1"/>
  <c r="F37" i="1"/>
  <c r="N38" i="1"/>
  <c r="D45" i="1"/>
  <c r="L45" i="1"/>
  <c r="E111" i="1"/>
  <c r="E164" i="1"/>
  <c r="M164" i="1"/>
  <c r="I164" i="1"/>
  <c r="G37" i="1"/>
  <c r="N13" i="1"/>
  <c r="F14" i="1"/>
  <c r="N18" i="1"/>
  <c r="N19" i="1"/>
  <c r="N20" i="1"/>
  <c r="N21" i="1"/>
  <c r="F25" i="1"/>
  <c r="N22" i="1"/>
  <c r="N42" i="1"/>
  <c r="B45" i="1"/>
  <c r="N49" i="1"/>
  <c r="F50" i="1"/>
  <c r="N56" i="1"/>
  <c r="B57" i="1"/>
  <c r="N57" i="1" s="1"/>
  <c r="D111" i="1"/>
  <c r="C123" i="1"/>
  <c r="G123" i="1"/>
  <c r="K123" i="1"/>
  <c r="N126" i="1"/>
  <c r="N127" i="1"/>
  <c r="N128" i="1"/>
  <c r="N132" i="1"/>
  <c r="F160" i="1"/>
  <c r="J160" i="1"/>
  <c r="N168" i="1"/>
  <c r="N174" i="1"/>
  <c r="N175" i="1"/>
  <c r="N176" i="1"/>
  <c r="N178" i="1"/>
  <c r="N182" i="1"/>
  <c r="N183" i="1"/>
  <c r="I192" i="1"/>
  <c r="M192" i="1"/>
  <c r="M234" i="1" s="1"/>
  <c r="M238" i="1" s="1"/>
  <c r="M239" i="1" s="1"/>
  <c r="B256" i="1"/>
  <c r="F256" i="1"/>
  <c r="J256" i="1"/>
  <c r="I251" i="1"/>
  <c r="F280" i="1"/>
  <c r="J280" i="1"/>
  <c r="J283" i="1" s="1"/>
  <c r="L296" i="1"/>
  <c r="C291" i="1"/>
  <c r="N398" i="1"/>
  <c r="N399" i="1"/>
  <c r="B424" i="1"/>
  <c r="F424" i="1"/>
  <c r="N402" i="1"/>
  <c r="N403" i="1"/>
  <c r="N60" i="1"/>
  <c r="N61" i="1"/>
  <c r="F66" i="1"/>
  <c r="N62" i="1"/>
  <c r="N65" i="1"/>
  <c r="G111" i="1"/>
  <c r="N77" i="1"/>
  <c r="B79" i="1"/>
  <c r="J79" i="1"/>
  <c r="N113" i="1"/>
  <c r="N114" i="1"/>
  <c r="N116" i="1"/>
  <c r="N117" i="1"/>
  <c r="N118" i="1"/>
  <c r="N142" i="1"/>
  <c r="N143" i="1"/>
  <c r="B164" i="1"/>
  <c r="N146" i="1"/>
  <c r="N147" i="1"/>
  <c r="N150" i="1"/>
  <c r="N151" i="1"/>
  <c r="N154" i="1"/>
  <c r="N171" i="1"/>
  <c r="B172" i="1"/>
  <c r="N172" i="1" s="1"/>
  <c r="N186" i="1"/>
  <c r="F192" i="1"/>
  <c r="F234" i="1" s="1"/>
  <c r="F238" i="1" s="1"/>
  <c r="B192" i="1"/>
  <c r="J192" i="1"/>
  <c r="J234" i="1" s="1"/>
  <c r="J238" i="1" s="1"/>
  <c r="N188" i="1"/>
  <c r="I204" i="1"/>
  <c r="M204" i="1"/>
  <c r="C210" i="1"/>
  <c r="N210" i="1" s="1"/>
  <c r="G210" i="1"/>
  <c r="K210" i="1"/>
  <c r="C251" i="1"/>
  <c r="G251" i="1"/>
  <c r="N262" i="1"/>
  <c r="F263" i="1"/>
  <c r="F264" i="1" s="1"/>
  <c r="E296" i="1"/>
  <c r="M296" i="1"/>
  <c r="N299" i="1"/>
  <c r="N302" i="1"/>
  <c r="I307" i="1"/>
  <c r="N317" i="1"/>
  <c r="I360" i="1"/>
  <c r="M360" i="1"/>
  <c r="C376" i="1"/>
  <c r="N379" i="1"/>
  <c r="B384" i="1"/>
  <c r="J384" i="1"/>
  <c r="N382" i="1"/>
  <c r="D396" i="1"/>
  <c r="H396" i="1"/>
  <c r="L396" i="1"/>
  <c r="H111" i="1"/>
  <c r="L111" i="1"/>
  <c r="C79" i="1"/>
  <c r="C111" i="1" s="1"/>
  <c r="G79" i="1"/>
  <c r="K79" i="1"/>
  <c r="K111" i="1" s="1"/>
  <c r="N81" i="1"/>
  <c r="N82" i="1"/>
  <c r="N83" i="1"/>
  <c r="N86" i="1"/>
  <c r="N87" i="1"/>
  <c r="N89" i="1"/>
  <c r="N90" i="1"/>
  <c r="J91" i="1"/>
  <c r="J111" i="1" s="1"/>
  <c r="K139" i="1"/>
  <c r="D133" i="1"/>
  <c r="N162" i="1"/>
  <c r="N163" i="1"/>
  <c r="D234" i="1"/>
  <c r="D238" i="1" s="1"/>
  <c r="N194" i="1"/>
  <c r="N195" i="1"/>
  <c r="N196" i="1"/>
  <c r="N198" i="1"/>
  <c r="N199" i="1"/>
  <c r="N203" i="1"/>
  <c r="N211" i="1"/>
  <c r="N214" i="1"/>
  <c r="N215" i="1"/>
  <c r="N216" i="1"/>
  <c r="N220" i="1"/>
  <c r="N221" i="1"/>
  <c r="N222" i="1"/>
  <c r="N224" i="1"/>
  <c r="N225" i="1"/>
  <c r="N226" i="1"/>
  <c r="N227" i="1"/>
  <c r="N231" i="1"/>
  <c r="N232" i="1"/>
  <c r="M256" i="1"/>
  <c r="N255" i="1"/>
  <c r="D264" i="1"/>
  <c r="H264" i="1"/>
  <c r="B283" i="1"/>
  <c r="F283" i="1"/>
  <c r="N266" i="1"/>
  <c r="E283" i="1"/>
  <c r="N286" i="1"/>
  <c r="N304" i="1"/>
  <c r="N305" i="1"/>
  <c r="F307" i="1"/>
  <c r="F309" i="1" s="1"/>
  <c r="J307" i="1"/>
  <c r="J309" i="1" s="1"/>
  <c r="J436" i="1" s="1"/>
  <c r="H322" i="1"/>
  <c r="L322" i="1"/>
  <c r="C318" i="1"/>
  <c r="K318" i="1"/>
  <c r="N319" i="1"/>
  <c r="N321" i="1"/>
  <c r="D335" i="1"/>
  <c r="D339" i="1" s="1"/>
  <c r="H335" i="1"/>
  <c r="H339" i="1" s="1"/>
  <c r="L335" i="1"/>
  <c r="L339" i="1" s="1"/>
  <c r="N342" i="1"/>
  <c r="N344" i="1"/>
  <c r="N345" i="1"/>
  <c r="N347" i="1"/>
  <c r="C372" i="1"/>
  <c r="N372" i="1" s="1"/>
  <c r="G372" i="1"/>
  <c r="G376" i="1" s="1"/>
  <c r="K372" i="1"/>
  <c r="K376" i="1" s="1"/>
  <c r="E406" i="1"/>
  <c r="I406" i="1"/>
  <c r="M406" i="1"/>
  <c r="N407" i="1"/>
  <c r="N408" i="1"/>
  <c r="N433" i="1"/>
  <c r="N434" i="1"/>
  <c r="N45" i="1"/>
  <c r="I67" i="1"/>
  <c r="N79" i="1"/>
  <c r="J139" i="1"/>
  <c r="N263" i="1"/>
  <c r="N14" i="1"/>
  <c r="I283" i="1"/>
  <c r="N53" i="1"/>
  <c r="H234" i="1"/>
  <c r="H238" i="1" s="1"/>
  <c r="H239" i="1" s="1"/>
  <c r="M283" i="1"/>
  <c r="N315" i="1"/>
  <c r="B15" i="1"/>
  <c r="J15" i="1"/>
  <c r="N9" i="1"/>
  <c r="E25" i="1"/>
  <c r="I25" i="1"/>
  <c r="N25" i="1" s="1"/>
  <c r="N76" i="1"/>
  <c r="N78" i="1"/>
  <c r="N80" i="1"/>
  <c r="C139" i="1"/>
  <c r="N124" i="1"/>
  <c r="F164" i="1"/>
  <c r="J164" i="1"/>
  <c r="N152" i="1"/>
  <c r="N177" i="1"/>
  <c r="N187" i="1"/>
  <c r="N223" i="1"/>
  <c r="I256" i="1"/>
  <c r="N298" i="1"/>
  <c r="N306" i="1"/>
  <c r="B307" i="1"/>
  <c r="C15" i="1"/>
  <c r="G15" i="1"/>
  <c r="K15" i="1"/>
  <c r="N17" i="1"/>
  <c r="N23" i="1"/>
  <c r="N24" i="1"/>
  <c r="N27" i="1"/>
  <c r="F39" i="1"/>
  <c r="J39" i="1"/>
  <c r="N28" i="1"/>
  <c r="E37" i="1"/>
  <c r="E39" i="1" s="1"/>
  <c r="E68" i="1" s="1"/>
  <c r="E69" i="1" s="1"/>
  <c r="I37" i="1"/>
  <c r="I39" i="1" s="1"/>
  <c r="M37" i="1"/>
  <c r="M39" i="1" s="1"/>
  <c r="M68" i="1" s="1"/>
  <c r="M69" i="1" s="1"/>
  <c r="D37" i="1"/>
  <c r="D39" i="1" s="1"/>
  <c r="H37" i="1"/>
  <c r="H39" i="1" s="1"/>
  <c r="L37" i="1"/>
  <c r="L39" i="1" s="1"/>
  <c r="N35" i="1"/>
  <c r="N36" i="1"/>
  <c r="B37" i="1"/>
  <c r="C66" i="1"/>
  <c r="G66" i="1"/>
  <c r="G67" i="1" s="1"/>
  <c r="K66" i="1"/>
  <c r="I111" i="1"/>
  <c r="M111" i="1"/>
  <c r="B91" i="1"/>
  <c r="N91" i="1" s="1"/>
  <c r="N109" i="1"/>
  <c r="N137" i="1"/>
  <c r="N145" i="1"/>
  <c r="N179" i="1"/>
  <c r="N180" i="1"/>
  <c r="N181" i="1"/>
  <c r="C192" i="1"/>
  <c r="G192" i="1"/>
  <c r="G234" i="1" s="1"/>
  <c r="G238" i="1" s="1"/>
  <c r="K192" i="1"/>
  <c r="K234" i="1" s="1"/>
  <c r="K238" i="1" s="1"/>
  <c r="N197" i="1"/>
  <c r="N237" i="1"/>
  <c r="N236" i="1"/>
  <c r="N243" i="1"/>
  <c r="N244" i="1"/>
  <c r="N245" i="1"/>
  <c r="E251" i="1"/>
  <c r="E256" i="1" s="1"/>
  <c r="N252" i="1"/>
  <c r="N254" i="1"/>
  <c r="C264" i="1"/>
  <c r="G264" i="1"/>
  <c r="K264" i="1"/>
  <c r="B291" i="1"/>
  <c r="J291" i="1"/>
  <c r="N288" i="1"/>
  <c r="F15" i="1"/>
  <c r="F68" i="1" s="1"/>
  <c r="F69" i="1" s="1"/>
  <c r="M25" i="1"/>
  <c r="F67" i="1"/>
  <c r="N59" i="1"/>
  <c r="N88" i="1"/>
  <c r="N95" i="1"/>
  <c r="G139" i="1"/>
  <c r="N115" i="1"/>
  <c r="N144" i="1"/>
  <c r="N167" i="1"/>
  <c r="N212" i="1"/>
  <c r="N242" i="1"/>
  <c r="B264" i="1"/>
  <c r="N258" i="1"/>
  <c r="K283" i="1"/>
  <c r="N267" i="1"/>
  <c r="N11" i="1"/>
  <c r="N12" i="1"/>
  <c r="C39" i="1"/>
  <c r="G39" i="1"/>
  <c r="K39" i="1"/>
  <c r="N43" i="1"/>
  <c r="N44" i="1"/>
  <c r="B67" i="1"/>
  <c r="J67" i="1"/>
  <c r="N47" i="1"/>
  <c r="N48" i="1"/>
  <c r="D66" i="1"/>
  <c r="D67" i="1" s="1"/>
  <c r="H66" i="1"/>
  <c r="H67" i="1" s="1"/>
  <c r="L66" i="1"/>
  <c r="L67" i="1" s="1"/>
  <c r="N63" i="1"/>
  <c r="N64" i="1"/>
  <c r="B111" i="1"/>
  <c r="N73" i="1"/>
  <c r="N84" i="1"/>
  <c r="N85" i="1"/>
  <c r="N100" i="1"/>
  <c r="N102" i="1"/>
  <c r="I139" i="1"/>
  <c r="M139" i="1"/>
  <c r="N120" i="1"/>
  <c r="N122" i="1"/>
  <c r="N130" i="1"/>
  <c r="L164" i="1"/>
  <c r="N148" i="1"/>
  <c r="N149" i="1"/>
  <c r="N158" i="1"/>
  <c r="N159" i="1"/>
  <c r="L192" i="1"/>
  <c r="L234" i="1" s="1"/>
  <c r="L238" i="1" s="1"/>
  <c r="N190" i="1"/>
  <c r="N191" i="1"/>
  <c r="N200" i="1"/>
  <c r="N201" i="1"/>
  <c r="B204" i="1"/>
  <c r="N202" i="1"/>
  <c r="N218" i="1"/>
  <c r="N219" i="1"/>
  <c r="N228" i="1"/>
  <c r="N230" i="1"/>
  <c r="N272" i="1"/>
  <c r="N274" i="1"/>
  <c r="N282" i="1"/>
  <c r="H296" i="1"/>
  <c r="E307" i="1"/>
  <c r="E309" i="1" s="1"/>
  <c r="M307" i="1"/>
  <c r="M309" i="1" s="1"/>
  <c r="B322" i="1"/>
  <c r="N313" i="1"/>
  <c r="J322" i="1"/>
  <c r="N311" i="1"/>
  <c r="N316" i="1"/>
  <c r="B39" i="1"/>
  <c r="N72" i="1"/>
  <c r="N105" i="1"/>
  <c r="N129" i="1"/>
  <c r="N157" i="1"/>
  <c r="N161" i="1"/>
  <c r="N169" i="1"/>
  <c r="N173" i="1"/>
  <c r="N189" i="1"/>
  <c r="N193" i="1"/>
  <c r="N208" i="1"/>
  <c r="N217" i="1"/>
  <c r="N233" i="1"/>
  <c r="C256" i="1"/>
  <c r="G256" i="1"/>
  <c r="K256" i="1"/>
  <c r="N277" i="1"/>
  <c r="N281" i="1"/>
  <c r="N292" i="1"/>
  <c r="N301" i="1"/>
  <c r="N312" i="1"/>
  <c r="N320" i="1"/>
  <c r="E360" i="1"/>
  <c r="N365" i="1"/>
  <c r="N400" i="1"/>
  <c r="N308" i="1"/>
  <c r="F322" i="1"/>
  <c r="N364" i="1"/>
  <c r="N7" i="1"/>
  <c r="N101" i="1"/>
  <c r="D139" i="1"/>
  <c r="H139" i="1"/>
  <c r="L139" i="1"/>
  <c r="N121" i="1"/>
  <c r="N125" i="1"/>
  <c r="B133" i="1"/>
  <c r="F133" i="1"/>
  <c r="F139" i="1" s="1"/>
  <c r="J133" i="1"/>
  <c r="N131" i="1"/>
  <c r="N153" i="1"/>
  <c r="C160" i="1"/>
  <c r="N160" i="1" s="1"/>
  <c r="G160" i="1"/>
  <c r="G164" i="1" s="1"/>
  <c r="K160" i="1"/>
  <c r="K164" i="1" s="1"/>
  <c r="E234" i="1"/>
  <c r="E238" i="1" s="1"/>
  <c r="I234" i="1"/>
  <c r="I238" i="1" s="1"/>
  <c r="I239" i="1" s="1"/>
  <c r="N185" i="1"/>
  <c r="N209" i="1"/>
  <c r="N213" i="1"/>
  <c r="N229" i="1"/>
  <c r="D251" i="1"/>
  <c r="H251" i="1"/>
  <c r="H256" i="1" s="1"/>
  <c r="L251" i="1"/>
  <c r="L256" i="1" s="1"/>
  <c r="N249" i="1"/>
  <c r="N253" i="1"/>
  <c r="N261" i="1"/>
  <c r="D283" i="1"/>
  <c r="H283" i="1"/>
  <c r="L283" i="1"/>
  <c r="N273" i="1"/>
  <c r="C280" i="1"/>
  <c r="N280" i="1" s="1"/>
  <c r="G280" i="1"/>
  <c r="G283" i="1" s="1"/>
  <c r="K280" i="1"/>
  <c r="C296" i="1"/>
  <c r="I291" i="1"/>
  <c r="I296" i="1" s="1"/>
  <c r="I309" i="1"/>
  <c r="H309" i="1"/>
  <c r="C322" i="1"/>
  <c r="K322" i="1"/>
  <c r="I318" i="1"/>
  <c r="N326" i="1"/>
  <c r="N346" i="1"/>
  <c r="N395" i="1"/>
  <c r="B396" i="1"/>
  <c r="C424" i="1"/>
  <c r="G424" i="1"/>
  <c r="K424" i="1"/>
  <c r="N401" i="1"/>
  <c r="N406" i="1"/>
  <c r="N404" i="1"/>
  <c r="N378" i="1"/>
  <c r="N380" i="1"/>
  <c r="E396" i="1"/>
  <c r="N393" i="1"/>
  <c r="B296" i="1"/>
  <c r="F296" i="1"/>
  <c r="J296" i="1"/>
  <c r="N285" i="1"/>
  <c r="G291" i="1"/>
  <c r="G296" i="1" s="1"/>
  <c r="K291" i="1"/>
  <c r="K296" i="1" s="1"/>
  <c r="N300" i="1"/>
  <c r="C307" i="1"/>
  <c r="C309" i="1" s="1"/>
  <c r="G307" i="1"/>
  <c r="G309" i="1" s="1"/>
  <c r="K307" i="1"/>
  <c r="K309" i="1" s="1"/>
  <c r="D322" i="1"/>
  <c r="B339" i="1"/>
  <c r="F339" i="1"/>
  <c r="J339" i="1"/>
  <c r="N324" i="1"/>
  <c r="N332" i="1"/>
  <c r="N341" i="1"/>
  <c r="N343" i="1"/>
  <c r="E376" i="1"/>
  <c r="I376" i="1"/>
  <c r="M376" i="1"/>
  <c r="C384" i="1"/>
  <c r="G384" i="1"/>
  <c r="K384" i="1"/>
  <c r="N381" i="1"/>
  <c r="N383" i="1"/>
  <c r="N386" i="1"/>
  <c r="N417" i="1"/>
  <c r="N419" i="1"/>
  <c r="M339" i="1"/>
  <c r="N329" i="1"/>
  <c r="N330" i="1"/>
  <c r="E335" i="1"/>
  <c r="E339" i="1" s="1"/>
  <c r="I335" i="1"/>
  <c r="I339" i="1" s="1"/>
  <c r="M335" i="1"/>
  <c r="D360" i="1"/>
  <c r="H360" i="1"/>
  <c r="L360" i="1"/>
  <c r="N353" i="1"/>
  <c r="N350" i="1"/>
  <c r="N351" i="1"/>
  <c r="N354" i="1"/>
  <c r="N355" i="1"/>
  <c r="D376" i="1"/>
  <c r="H376" i="1"/>
  <c r="L376" i="1"/>
  <c r="N369" i="1"/>
  <c r="N370" i="1"/>
  <c r="N371" i="1"/>
  <c r="N373" i="1"/>
  <c r="N374" i="1"/>
  <c r="N375" i="1"/>
  <c r="E384" i="1"/>
  <c r="I384" i="1"/>
  <c r="N384" i="1" s="1"/>
  <c r="M384" i="1"/>
  <c r="C396" i="1"/>
  <c r="G396" i="1"/>
  <c r="K396" i="1"/>
  <c r="E394" i="1"/>
  <c r="I394" i="1"/>
  <c r="I396" i="1" s="1"/>
  <c r="M394" i="1"/>
  <c r="M396" i="1" s="1"/>
  <c r="D424" i="1"/>
  <c r="H424" i="1"/>
  <c r="L424" i="1"/>
  <c r="N405" i="1"/>
  <c r="N409" i="1"/>
  <c r="E415" i="1"/>
  <c r="E424" i="1" s="1"/>
  <c r="I415" i="1"/>
  <c r="I424" i="1" s="1"/>
  <c r="M415" i="1"/>
  <c r="B435" i="1"/>
  <c r="F435" i="1"/>
  <c r="J435" i="1"/>
  <c r="N427" i="1"/>
  <c r="N349" i="1"/>
  <c r="N390" i="1"/>
  <c r="N426" i="1"/>
  <c r="N411" i="1"/>
  <c r="N394" i="1" l="1"/>
  <c r="N376" i="1"/>
  <c r="E239" i="1"/>
  <c r="N133" i="1"/>
  <c r="N204" i="1"/>
  <c r="D68" i="1"/>
  <c r="D69" i="1" s="1"/>
  <c r="J239" i="1"/>
  <c r="J437" i="1" s="1"/>
  <c r="J438" i="1" s="1"/>
  <c r="J439" i="1" s="1"/>
  <c r="N123" i="1"/>
  <c r="N54" i="1"/>
  <c r="L436" i="1"/>
  <c r="N435" i="1"/>
  <c r="N251" i="1"/>
  <c r="K239" i="1"/>
  <c r="N264" i="1"/>
  <c r="N192" i="1"/>
  <c r="C234" i="1"/>
  <c r="C238" i="1" s="1"/>
  <c r="F239" i="1"/>
  <c r="N415" i="1"/>
  <c r="N360" i="1"/>
  <c r="F436" i="1"/>
  <c r="F437" i="1" s="1"/>
  <c r="F438" i="1" s="1"/>
  <c r="F439" i="1" s="1"/>
  <c r="N318" i="1"/>
  <c r="B234" i="1"/>
  <c r="C67" i="1"/>
  <c r="N67" i="1" s="1"/>
  <c r="I68" i="1"/>
  <c r="I69" i="1" s="1"/>
  <c r="J68" i="1"/>
  <c r="J69" i="1" s="1"/>
  <c r="D256" i="1"/>
  <c r="G239" i="1"/>
  <c r="G437" i="1" s="1"/>
  <c r="N256" i="1"/>
  <c r="L68" i="1"/>
  <c r="L69" i="1" s="1"/>
  <c r="N424" i="1"/>
  <c r="H68" i="1"/>
  <c r="H69" i="1" s="1"/>
  <c r="N335" i="1"/>
  <c r="K436" i="1"/>
  <c r="K437" i="1" s="1"/>
  <c r="L239" i="1"/>
  <c r="L437" i="1" s="1"/>
  <c r="E436" i="1"/>
  <c r="B238" i="1"/>
  <c r="N234" i="1"/>
  <c r="I322" i="1"/>
  <c r="N37" i="1"/>
  <c r="K68" i="1"/>
  <c r="K69" i="1" s="1"/>
  <c r="N307" i="1"/>
  <c r="N15" i="1"/>
  <c r="N296" i="1"/>
  <c r="C164" i="1"/>
  <c r="N111" i="1"/>
  <c r="H436" i="1"/>
  <c r="H437" i="1" s="1"/>
  <c r="C283" i="1"/>
  <c r="N283" i="1" s="1"/>
  <c r="N396" i="1"/>
  <c r="M424" i="1"/>
  <c r="M436" i="1" s="1"/>
  <c r="M437" i="1" s="1"/>
  <c r="M438" i="1" s="1"/>
  <c r="M439" i="1" s="1"/>
  <c r="G436" i="1"/>
  <c r="N291" i="1"/>
  <c r="G68" i="1"/>
  <c r="G69" i="1" s="1"/>
  <c r="B309" i="1"/>
  <c r="N309" i="1" s="1"/>
  <c r="B436" i="1"/>
  <c r="N66" i="1"/>
  <c r="N39" i="1"/>
  <c r="B139" i="1"/>
  <c r="N139" i="1" s="1"/>
  <c r="D436" i="1"/>
  <c r="D437" i="1" s="1"/>
  <c r="D438" i="1" s="1"/>
  <c r="D439" i="1" s="1"/>
  <c r="N339" i="1"/>
  <c r="C436" i="1"/>
  <c r="N322" i="1"/>
  <c r="I436" i="1"/>
  <c r="I437" i="1" s="1"/>
  <c r="B68" i="1"/>
  <c r="K438" i="1" l="1"/>
  <c r="K439" i="1" s="1"/>
  <c r="E437" i="1"/>
  <c r="E438" i="1" s="1"/>
  <c r="E439" i="1" s="1"/>
  <c r="I438" i="1"/>
  <c r="I439" i="1" s="1"/>
  <c r="C68" i="1"/>
  <c r="C69" i="1" s="1"/>
  <c r="H438" i="1"/>
  <c r="H439" i="1" s="1"/>
  <c r="N68" i="1"/>
  <c r="B69" i="1"/>
  <c r="N238" i="1"/>
  <c r="B239" i="1"/>
  <c r="L438" i="1"/>
  <c r="L439" i="1" s="1"/>
  <c r="N436" i="1"/>
  <c r="G438" i="1"/>
  <c r="G439" i="1" s="1"/>
  <c r="C239" i="1"/>
  <c r="C437" i="1" s="1"/>
  <c r="C438" i="1" s="1"/>
  <c r="C439" i="1" s="1"/>
  <c r="N164" i="1"/>
  <c r="N69" i="1" l="1"/>
  <c r="N239" i="1"/>
  <c r="B437" i="1"/>
  <c r="N437" i="1" s="1"/>
  <c r="B438" i="1" l="1"/>
  <c r="B439" i="1" l="1"/>
  <c r="N439" i="1" s="1"/>
  <c r="N438" i="1"/>
</calcChain>
</file>

<file path=xl/sharedStrings.xml><?xml version="1.0" encoding="utf-8"?>
<sst xmlns="http://schemas.openxmlformats.org/spreadsheetml/2006/main" count="450" uniqueCount="450">
  <si>
    <t>Jan 2020</t>
  </si>
  <si>
    <t>Feb 2020</t>
  </si>
  <si>
    <t>Mar 2020</t>
  </si>
  <si>
    <t>Apr 2020</t>
  </si>
  <si>
    <t>May 2020</t>
  </si>
  <si>
    <t>Jun 2020</t>
  </si>
  <si>
    <t>Jul 2020</t>
  </si>
  <si>
    <t>Aug 2020</t>
  </si>
  <si>
    <t>Sep 2020</t>
  </si>
  <si>
    <t>Oct 2020</t>
  </si>
  <si>
    <t>Nov 2020</t>
  </si>
  <si>
    <t>Dec 2020</t>
  </si>
  <si>
    <t>Total</t>
  </si>
  <si>
    <t>Income</t>
  </si>
  <si>
    <t xml:space="preserve">   4090 HC Royalties</t>
  </si>
  <si>
    <t xml:space="preserve">   C111000 Chattanooga Income</t>
  </si>
  <si>
    <t xml:space="preserve">      C111010 CHAT Individual Gifts</t>
  </si>
  <si>
    <t xml:space="preserve">      C111040 Government Grants-Chattanooga</t>
  </si>
  <si>
    <t xml:space="preserve">         C111053 Govt Grant - Exodus</t>
  </si>
  <si>
    <t xml:space="preserve">         C111054 ADAT - Chattanooga</t>
  </si>
  <si>
    <t xml:space="preserve">         C111056 Govt Grant - Dept of Corrections (DOC)</t>
  </si>
  <si>
    <t xml:space="preserve">      Total C111040 Government Grants-Chattanooga</t>
  </si>
  <si>
    <t xml:space="preserve">   Total C111000 Chattanooga Income</t>
  </si>
  <si>
    <t xml:space="preserve">   FRC1000 Freedom Recovery Community Income</t>
  </si>
  <si>
    <t xml:space="preserve">      FRC1043 CSH Grant Income</t>
  </si>
  <si>
    <t xml:space="preserve">      FRC1044 HUD Grant Income</t>
  </si>
  <si>
    <t xml:space="preserve">      FRC1046 Building Strong Brains Grant Income</t>
  </si>
  <si>
    <t xml:space="preserve">      FRC1067 Project Based Voucher Income</t>
  </si>
  <si>
    <t xml:space="preserve">      FRC1068 MH Rent Income</t>
  </si>
  <si>
    <t xml:space="preserve">      FRC1069 HUD Rent Income</t>
  </si>
  <si>
    <t xml:space="preserve">      FRC1070 Non HUD &amp; MH Rent Income</t>
  </si>
  <si>
    <t xml:space="preserve">      FRC1080 FRC Other Income</t>
  </si>
  <si>
    <t xml:space="preserve">   Total FRC1000 Freedom Recovery Community Income</t>
  </si>
  <si>
    <t xml:space="preserve">   G111000 Nashville Donation/Misc Income</t>
  </si>
  <si>
    <t xml:space="preserve">      4120 Interest Income</t>
  </si>
  <si>
    <t xml:space="preserve">      4150 Miscellaneous Income</t>
  </si>
  <si>
    <t xml:space="preserve">      COC1000 Continuum of Care Donations</t>
  </si>
  <si>
    <t xml:space="preserve">         COC1010 Individual Gifts - Program</t>
  </si>
  <si>
    <t xml:space="preserve">         COC1015 Events Income</t>
  </si>
  <si>
    <t xml:space="preserve">         COC1020 Corporate Gifts</t>
  </si>
  <si>
    <t xml:space="preserve">         COC1030 Foundations - Programs</t>
  </si>
  <si>
    <t xml:space="preserve">         COC1035 Employee Giving</t>
  </si>
  <si>
    <t xml:space="preserve">         COC1050 Church Gifts</t>
  </si>
  <si>
    <t xml:space="preserve">         COC1083 Medical Records</t>
  </si>
  <si>
    <t xml:space="preserve">      Total COC1000 Continuum of Care Donations</t>
  </si>
  <si>
    <t xml:space="preserve">      COC1079 NASHVILLE INCOME Staff lunches</t>
  </si>
  <si>
    <t xml:space="preserve">   Total G111000 Nashville Donation/Misc Income</t>
  </si>
  <si>
    <t xml:space="preserve">   NTX1000 Nashville Treatment Services Income</t>
  </si>
  <si>
    <t xml:space="preserve">      DTX1000 Detox Income</t>
  </si>
  <si>
    <t xml:space="preserve">         DTX1051 Detox - COC-Fed Nashville Grant Income</t>
  </si>
  <si>
    <t xml:space="preserve">         DTX1052 Detox CTC Grant</t>
  </si>
  <si>
    <t xml:space="preserve">         DTX1070 Detox - Third Party Insurance Revenue</t>
  </si>
  <si>
    <t xml:space="preserve">      Total DTX1000 Detox Income</t>
  </si>
  <si>
    <t xml:space="preserve">      IOP1000 IOP/OP Income</t>
  </si>
  <si>
    <t xml:space="preserve">         IOP1051 IOP COC-Fed Grant Income</t>
  </si>
  <si>
    <t xml:space="preserve">         IOP1058 IOP - SPOT Grant Income</t>
  </si>
  <si>
    <t xml:space="preserve">         IOP1080 IOP - Third Party Insurance Income</t>
  </si>
  <si>
    <t xml:space="preserve">      Total IOP1000 IOP/OP Income</t>
  </si>
  <si>
    <t xml:space="preserve">      PHP1000 PHP Income</t>
  </si>
  <si>
    <t xml:space="preserve">         PHP1051 PHP - COC - Fed - Nashville Grant Income</t>
  </si>
  <si>
    <t xml:space="preserve">         PHP1080 PHP - Third Party Insurance Revenue</t>
  </si>
  <si>
    <t xml:space="preserve">      Total PHP1000 PHP Income</t>
  </si>
  <si>
    <t xml:space="preserve">      RCC1000 Recovery Care Clinic Income</t>
  </si>
  <si>
    <t xml:space="preserve">         RCC1086 Recovery Care Clinic Third Party Income</t>
  </si>
  <si>
    <t xml:space="preserve">      Total RCC1000 Recovery Care Clinic Income</t>
  </si>
  <si>
    <t xml:space="preserve">      RES1000 Residential Treatment Services Income</t>
  </si>
  <si>
    <t xml:space="preserve">         RES1046 RES Building Strong Brains Grant Income</t>
  </si>
  <si>
    <t xml:space="preserve">         RES1051 Residential - COC Fed Grant Income</t>
  </si>
  <si>
    <t xml:space="preserve">         RES1052 RES - CTC Grant Income</t>
  </si>
  <si>
    <t xml:space="preserve">         RES1058 RES - SPOT Grant Income</t>
  </si>
  <si>
    <t xml:space="preserve">         RES1059 RES-ARP</t>
  </si>
  <si>
    <t xml:space="preserve">         RES1063 REP - Pregnant Women Safety Net</t>
  </si>
  <si>
    <t xml:space="preserve">         RES1072 RES - Third Party Insurance Income</t>
  </si>
  <si>
    <t xml:space="preserve">      Total RES1000 Residential Treatment Services Income</t>
  </si>
  <si>
    <t xml:space="preserve">   Total NTX1000 Nashville Treatment Services Income</t>
  </si>
  <si>
    <t>Total Income</t>
  </si>
  <si>
    <t>Gross Profit</t>
  </si>
  <si>
    <t>Expenses</t>
  </si>
  <si>
    <t xml:space="preserve">   C100000 Chattanooga Expenses</t>
  </si>
  <si>
    <t xml:space="preserve">      C101101 Chattanooga Corporate Support</t>
  </si>
  <si>
    <t xml:space="preserve">      C101102 Chattanooga Administrative Support</t>
  </si>
  <si>
    <t xml:space="preserve">      C103040 CHAT-Development Events</t>
  </si>
  <si>
    <t xml:space="preserve">      C105000 CHAT-Oper Personnel</t>
  </si>
  <si>
    <t xml:space="preserve">         C105010 CHAT-Oper Personnel-Payroll Salary</t>
  </si>
  <si>
    <t xml:space="preserve">         C105015 CHAT-Oper Personnel-Health Insurance</t>
  </si>
  <si>
    <t xml:space="preserve">         C105025 CHAT-Oper Personnel-Payroll Taxes</t>
  </si>
  <si>
    <t xml:space="preserve">      Total C105000 CHAT-Oper Personnel</t>
  </si>
  <si>
    <t xml:space="preserve">      C105027 CHAT-Operations Drug/TB Test-Staff</t>
  </si>
  <si>
    <t xml:space="preserve">      C105035 CHAT-Operations Contract Labor</t>
  </si>
  <si>
    <t xml:space="preserve">      C105040 CHAT-Operations Staff Training</t>
  </si>
  <si>
    <t xml:space="preserve">      C105055 Staff Appreciation</t>
  </si>
  <si>
    <t xml:space="preserve">      C106010 CHAT-Operations Facility Lease</t>
  </si>
  <si>
    <t xml:space="preserve">      C106011 CHAT-Operations Facility Furnishings</t>
  </si>
  <si>
    <t xml:space="preserve">      C106015 CHAT Operations Building Utilites</t>
  </si>
  <si>
    <t xml:space="preserve">      C106022 CHAT-Operations Cell Phones</t>
  </si>
  <si>
    <t xml:space="preserve">      C106024 CHAT Operations Facility Landscaping</t>
  </si>
  <si>
    <t xml:space="preserve">      C106025 CHAT-Operations Maintenance</t>
  </si>
  <si>
    <t xml:space="preserve">         C106029 Operations Maintenance - Materials</t>
  </si>
  <si>
    <t xml:space="preserve">      Total C106025 CHAT-Operations Maintenance</t>
  </si>
  <si>
    <t xml:space="preserve">      C106026 CHAT Operations Fac. Cleaning Sup.</t>
  </si>
  <si>
    <t xml:space="preserve">      C106027 CHAT-Operations Maint. Contract</t>
  </si>
  <si>
    <t xml:space="preserve">      C107006 CHAT-Operations Sec. Sys. Maint.</t>
  </si>
  <si>
    <t xml:space="preserve">      C107010 CHAT-Operations Office Supplies</t>
  </si>
  <si>
    <t xml:space="preserve">      C107021 CHAT-Operations Comp Soft and Hard</t>
  </si>
  <si>
    <t xml:space="preserve">      C107022 CHAT-Operations Comp soft/hard maint</t>
  </si>
  <si>
    <t xml:space="preserve">      C107025 CHAT-Operations Postage</t>
  </si>
  <si>
    <t xml:space="preserve">      C107035 CHAT-Operations Dues &amp; Subscription</t>
  </si>
  <si>
    <t xml:space="preserve">      C107040 CHAT-Operations Printing</t>
  </si>
  <si>
    <t xml:space="preserve">      C108010 CHAT-Operations Travel</t>
  </si>
  <si>
    <t xml:space="preserve">      C108015 CHAT-Operations Food &amp; Beverage</t>
  </si>
  <si>
    <t xml:space="preserve">      C108017 CHAT-Operations Veh Maint and Repair</t>
  </si>
  <si>
    <t xml:space="preserve">      C108018 CHAT-Operations Vehicle Gasoline</t>
  </si>
  <si>
    <t xml:space="preserve">      C109045 CHAT-Operations Licensing/Yearly Fee</t>
  </si>
  <si>
    <t xml:space="preserve">      C112050 CHAT-Program Food</t>
  </si>
  <si>
    <t xml:space="preserve">      C112060 CHAT-Program Paper Products</t>
  </si>
  <si>
    <t xml:space="preserve">      C112065 CHAT-Program Drug Testing Supplies</t>
  </si>
  <si>
    <t xml:space="preserve">      C112067 CHAT - Program - Medical Supplies</t>
  </si>
  <si>
    <t xml:space="preserve">      C112082 CHAT-Program-Special Events-other</t>
  </si>
  <si>
    <t xml:space="preserve">   Total C100000 Chattanooga Expenses</t>
  </si>
  <si>
    <t xml:space="preserve">   FRC1100 Freedom Recovery Community Expenses</t>
  </si>
  <si>
    <t xml:space="preserve">      FRC1101 FRC Corporate Support</t>
  </si>
  <si>
    <t xml:space="preserve">      FRC1102 FRC Administrative Support</t>
  </si>
  <si>
    <t xml:space="preserve">      FRC2065 Drug Testing Supplies</t>
  </si>
  <si>
    <t xml:space="preserve">      FRC2067 Medical Supplies</t>
  </si>
  <si>
    <t xml:space="preserve">      FRC2072 Children's Programming</t>
  </si>
  <si>
    <t xml:space="preserve">      FRC2073 Program Group Supplies</t>
  </si>
  <si>
    <t xml:space="preserve">      FRC5000 Payroll Expenses</t>
  </si>
  <si>
    <t xml:space="preserve">         FRC5010 Payroll Salary</t>
  </si>
  <si>
    <t xml:space="preserve">         FRC5015 Health Insurance</t>
  </si>
  <si>
    <t xml:space="preserve">         FRC5025 Payroll Taxes</t>
  </si>
  <si>
    <t xml:space="preserve">      Total FRC5000 Payroll Expenses</t>
  </si>
  <si>
    <t xml:space="preserve">      FRC5055 Staff Appreciation</t>
  </si>
  <si>
    <t xml:space="preserve">      FRC6011 Facility Furnishings</t>
  </si>
  <si>
    <t xml:space="preserve">      FRC6016 Utilities-Gas &amp; Electric</t>
  </si>
  <si>
    <t xml:space="preserve">      FRC6018 Utilities-Water</t>
  </si>
  <si>
    <t xml:space="preserve">      FRC6020 Utilities-Telephone</t>
  </si>
  <si>
    <t xml:space="preserve">      FRC6022 Utilities-Cell Phones</t>
  </si>
  <si>
    <t xml:space="preserve">      FRC6024 Facility Landscaping</t>
  </si>
  <si>
    <t xml:space="preserve">      FRC6025 Repair &amp; Maintenance</t>
  </si>
  <si>
    <t xml:space="preserve">         FRC6029 Repair &amp; Maintenance - Materials</t>
  </si>
  <si>
    <t xml:space="preserve">      Total FRC6025 Repair &amp; Maintenance</t>
  </si>
  <si>
    <t xml:space="preserve">      FRC6026 Cleaning Supplies</t>
  </si>
  <si>
    <t xml:space="preserve">      FRC6027 Maintenance Contract</t>
  </si>
  <si>
    <t xml:space="preserve">      FRC7006 Security Sys Maint/Monit</t>
  </si>
  <si>
    <t xml:space="preserve">      FRC7010 FRC Office Supplies</t>
  </si>
  <si>
    <t xml:space="preserve">      FRC9035 FRC Taxes and licenses</t>
  </si>
  <si>
    <t xml:space="preserve">   Total FRC1100 Freedom Recovery Community Expenses</t>
  </si>
  <si>
    <t xml:space="preserve">   NSH1100 All Other Nashville Expenses</t>
  </si>
  <si>
    <t xml:space="preserve">      DEV1100 DEVELOPMENT</t>
  </si>
  <si>
    <t xml:space="preserve">         DEV1101 Development Corporate Support</t>
  </si>
  <si>
    <t xml:space="preserve">         DEV1102 Development Administrative Support</t>
  </si>
  <si>
    <t xml:space="preserve">         DEV3000 Advertising/Promotional</t>
  </si>
  <si>
    <t xml:space="preserve">         DEV3005 Annual Bene Luncheon</t>
  </si>
  <si>
    <t xml:space="preserve">         DEV3025 Contract Labor</t>
  </si>
  <si>
    <t xml:space="preserve">         DEV3030 Donor Relationship Bldg</t>
  </si>
  <si>
    <t xml:space="preserve">         DEV3032 Development - Volunteer Expense</t>
  </si>
  <si>
    <t xml:space="preserve">         DEV3035 Dues &amp; subscriptions</t>
  </si>
  <si>
    <t xml:space="preserve">         DEV3040 Events</t>
  </si>
  <si>
    <t xml:space="preserve">         DEV3045 Song Writers Night</t>
  </si>
  <si>
    <t xml:space="preserve">         DEV3060 Postage</t>
  </si>
  <si>
    <t xml:space="preserve">         DEV3065 Printing</t>
  </si>
  <si>
    <t xml:space="preserve">         DEV3075 Spring Fundraiser</t>
  </si>
  <si>
    <t xml:space="preserve">         DEV3090 Travel</t>
  </si>
  <si>
    <t xml:space="preserve">         DEV5000 Payroll Expenses</t>
  </si>
  <si>
    <t xml:space="preserve">            DEV5010 Payroll Salary</t>
  </si>
  <si>
    <t xml:space="preserve">            DEV5015 Health Insurance</t>
  </si>
  <si>
    <t xml:space="preserve">            DEV5025 Payroll Taxes</t>
  </si>
  <si>
    <t xml:space="preserve">         Total DEV5000 Payroll Expenses</t>
  </si>
  <si>
    <t xml:space="preserve">         DEV5040 Staff Training</t>
  </si>
  <si>
    <t xml:space="preserve">         DEV5055 Staff Appreciation</t>
  </si>
  <si>
    <t xml:space="preserve">         DEV7010 Development Office Supplies</t>
  </si>
  <si>
    <t xml:space="preserve">      Total DEV1100 DEVELOPMENT</t>
  </si>
  <si>
    <t xml:space="preserve">      G100000 NASHVILLE EXPENSES</t>
  </si>
  <si>
    <t xml:space="preserve">         INC0000 INC Expenses</t>
  </si>
  <si>
    <t xml:space="preserve">            6125 Fees &amp; Commissions-Stock Donation</t>
  </si>
  <si>
    <t xml:space="preserve">            6126 Stock-loss at time of sale</t>
  </si>
  <si>
    <t xml:space="preserve">            6127 Online (website) donation fees</t>
  </si>
  <si>
    <t xml:space="preserve">            6200 Interest Expense</t>
  </si>
  <si>
    <t xml:space="preserve">               6220 Loan Interest</t>
  </si>
  <si>
    <t xml:space="preserve">            Total 6200 Interest Expense</t>
  </si>
  <si>
    <t xml:space="preserve">            6270 Professional Fees</t>
  </si>
  <si>
    <t xml:space="preserve">            6280 Legal Fees</t>
  </si>
  <si>
    <t xml:space="preserve">            6650 Accounting</t>
  </si>
  <si>
    <t xml:space="preserve">            6780 Marketing</t>
  </si>
  <si>
    <t xml:space="preserve">            CLS2073 Manuals</t>
  </si>
  <si>
    <t xml:space="preserve">            HMR5055 HR Staff Appreciation</t>
  </si>
  <si>
    <t xml:space="preserve">            HMR8010 HR Travel</t>
  </si>
  <si>
    <t xml:space="preserve">            HMR8015 HR Food &amp; Beverage</t>
  </si>
  <si>
    <t xml:space="preserve">            INC1101 INC Corporate Support</t>
  </si>
  <si>
    <t xml:space="preserve">            INC1102 INC Administrative Support</t>
  </si>
  <si>
    <t xml:space="preserve">            INC3095 Development Website</t>
  </si>
  <si>
    <t xml:space="preserve">            INC5000 Operations Personnel</t>
  </si>
  <si>
    <t xml:space="preserve">               INC5010 Operations Payroll Salary</t>
  </si>
  <si>
    <t xml:space="preserve">               INC5015 Operations Health Insurance</t>
  </si>
  <si>
    <t xml:space="preserve">               INC5019 Operations Worker's Compensation</t>
  </si>
  <si>
    <t xml:space="preserve">               INC5020 Equity Increases</t>
  </si>
  <si>
    <t xml:space="preserve">               INC5025 Operations Payroll Taxes</t>
  </si>
  <si>
    <t xml:space="preserve">               INC5030 Operations Retirement Plan</t>
  </si>
  <si>
    <t xml:space="preserve">               INC5031 401K Match</t>
  </si>
  <si>
    <t xml:space="preserve">            Total INC5000 Operations Personnel</t>
  </si>
  <si>
    <t xml:space="preserve">            INC5026 Operations Background Screening-Staff</t>
  </si>
  <si>
    <t xml:space="preserve">            INC5027 Operations Drug/TB Test-Staff</t>
  </si>
  <si>
    <t xml:space="preserve">            INC5029 Operations Recruiting</t>
  </si>
  <si>
    <t xml:space="preserve">            INC5040 Operations Staff Training</t>
  </si>
  <si>
    <t xml:space="preserve">            INC5045 Operations Payroll Service</t>
  </si>
  <si>
    <t xml:space="preserve">            INC5055 Operations Staff Appreciation</t>
  </si>
  <si>
    <t xml:space="preserve">            INC5056 Operations Employee Satisfaction</t>
  </si>
  <si>
    <t xml:space="preserve">            INC6005 Operations Insurance General</t>
  </si>
  <si>
    <t xml:space="preserve">            INC6011 Operations Facilities Furnishings</t>
  </si>
  <si>
    <t xml:space="preserve">            INC6015 Operations Building Utilites</t>
  </si>
  <si>
    <t xml:space="preserve">               INC6018 Operations Building Water</t>
  </si>
  <si>
    <t xml:space="preserve">            Total INC6015 Operations Building Utilites</t>
  </si>
  <si>
    <t xml:space="preserve">            INC6020 Operations Telephone</t>
  </si>
  <si>
    <t xml:space="preserve">            INC6022 Operations Cell Phones</t>
  </si>
  <si>
    <t xml:space="preserve">            INC6024 Operations Facility Landscaping</t>
  </si>
  <si>
    <t xml:space="preserve">            INC6025 Operations Maintenance</t>
  </si>
  <si>
    <t xml:space="preserve">               INC6029 Operations Maintenance-Materials</t>
  </si>
  <si>
    <t xml:space="preserve">            Total INC6025 Operations Maintenance</t>
  </si>
  <si>
    <t xml:space="preserve">            INC6026 Operations Fac. Cleaning Sup.</t>
  </si>
  <si>
    <t xml:space="preserve">            INC6027 Operations Maint. Contract</t>
  </si>
  <si>
    <t xml:space="preserve">            INC6028 Operations Cleaing Service</t>
  </si>
  <si>
    <t xml:space="preserve">            INC6035 Operations Kitchen Equipment</t>
  </si>
  <si>
    <t xml:space="preserve">            INC7005 Operations Sec. System Equipt.</t>
  </si>
  <si>
    <t xml:space="preserve">            INC7006 Operations Sec. Sys. Maint/Mont</t>
  </si>
  <si>
    <t xml:space="preserve">            INC7010 Operations Office Supplies</t>
  </si>
  <si>
    <t xml:space="preserve">            INC7015 Operations Office Equipment</t>
  </si>
  <si>
    <t xml:space="preserve">            INC7021 Operations Comp Soft and Hard</t>
  </si>
  <si>
    <t xml:space="preserve">            INC7022 Operations Computer Maint</t>
  </si>
  <si>
    <t xml:space="preserve">            INC7023 Operations Database Devel/Maint</t>
  </si>
  <si>
    <t xml:space="preserve">            INC7024 Operations Network Support</t>
  </si>
  <si>
    <t xml:space="preserve">            INC7025 Operations Postage</t>
  </si>
  <si>
    <t xml:space="preserve">            INC7035 Operations Dues &amp; Subscription</t>
  </si>
  <si>
    <t xml:space="preserve">            INC7040 Operations Printing</t>
  </si>
  <si>
    <t xml:space="preserve">            INC8010 Operations Travel</t>
  </si>
  <si>
    <t xml:space="preserve">            INC8015 Operations Food &amp; Beverage</t>
  </si>
  <si>
    <t xml:space="preserve">            INC8017 Operations Vehicle Main. &amp; Rep</t>
  </si>
  <si>
    <t xml:space="preserve">            INC8018 Operations Vehicle Gasoline</t>
  </si>
  <si>
    <t xml:space="preserve">            INC9015 Operations Bad Debts</t>
  </si>
  <si>
    <t xml:space="preserve">            INC9020 Operations Bank Charges</t>
  </si>
  <si>
    <t xml:space="preserve">            INC9035 Operations Taxes &amp; Licenses</t>
  </si>
  <si>
    <t xml:space="preserve">            INC9045 Operations Licensing/Yearly Fee</t>
  </si>
  <si>
    <t xml:space="preserve">         Total INC0000 INC Expenses</t>
  </si>
  <si>
    <t xml:space="preserve">         JES0000 JESUS CALLING EXPENSES</t>
  </si>
  <si>
    <t xml:space="preserve">            JES7050 Operations Jesus Calling Distribution</t>
  </si>
  <si>
    <t xml:space="preserve">         Total JES0000 JESUS CALLING EXPENSES</t>
  </si>
  <si>
    <t xml:space="preserve">      Total G100000 NASHVILLE EXPENSES</t>
  </si>
  <si>
    <t xml:space="preserve">   Total NSH1100 All Other Nashville Expenses</t>
  </si>
  <si>
    <t xml:space="preserve">   NTX1100 Nashville Treatment Services Expense</t>
  </si>
  <si>
    <t xml:space="preserve">      ADM1100 ADMISSIONS</t>
  </si>
  <si>
    <t xml:space="preserve">         ADM1101 Admissions Corporate Support</t>
  </si>
  <si>
    <t xml:space="preserve">         ADM1102 Admissions Administrative Support</t>
  </si>
  <si>
    <t xml:space="preserve">         ADM2040 Admissions Direct Client Professional Services</t>
  </si>
  <si>
    <t xml:space="preserve">         ADM2045 Admission Transportation</t>
  </si>
  <si>
    <t xml:space="preserve">         ADM5000 Payroll Expenses</t>
  </si>
  <si>
    <t xml:space="preserve">            ADM5010 Payroll Salary</t>
  </si>
  <si>
    <t xml:space="preserve">            ADM5015 Health Insurance</t>
  </si>
  <si>
    <t xml:space="preserve">            ADM5025 Payroll Taxes</t>
  </si>
  <si>
    <t xml:space="preserve">            ADM6022 Admissions Reimb</t>
  </si>
  <si>
    <t xml:space="preserve">         Total ADM5000 Payroll Expenses</t>
  </si>
  <si>
    <t xml:space="preserve">         ADM5040 Admissions Training and Development</t>
  </si>
  <si>
    <t xml:space="preserve">         ADM5055 Staff Appreciation</t>
  </si>
  <si>
    <t xml:space="preserve">         ADM7010 Admissions Office Supplies</t>
  </si>
  <si>
    <t xml:space="preserve">         ADM8010 Admissions Travel</t>
  </si>
  <si>
    <t xml:space="preserve">      Total ADM1100 ADMISSIONS</t>
  </si>
  <si>
    <t xml:space="preserve">      AFC1100 AFTERCARE</t>
  </si>
  <si>
    <t xml:space="preserve">         AFC1101 Aftercare Corporate Support</t>
  </si>
  <si>
    <t xml:space="preserve">         AFC2078 Special Events</t>
  </si>
  <si>
    <t xml:space="preserve">         AFC5000 Payroll Expenses</t>
  </si>
  <si>
    <t xml:space="preserve">            AFC5010 Payroll Salary</t>
  </si>
  <si>
    <t xml:space="preserve">            AFC5025 Payroll Taxes</t>
  </si>
  <si>
    <t xml:space="preserve">         Total AFC5000 Payroll Expenses</t>
  </si>
  <si>
    <t xml:space="preserve">      Total AFC1100 AFTERCARE</t>
  </si>
  <si>
    <t xml:space="preserve">      BDV1100 BUSINESS DEVELOPMENT</t>
  </si>
  <si>
    <t xml:space="preserve">         BDV1101 Business Development Corporate Support</t>
  </si>
  <si>
    <t xml:space="preserve">         BDV1102 Business Development Administrative Support</t>
  </si>
  <si>
    <t xml:space="preserve">         BDV3020 Community Development</t>
  </si>
  <si>
    <t xml:space="preserve">         BDV3021 Conference Displays</t>
  </si>
  <si>
    <t xml:space="preserve">         BDV3035 Dues &amp; subscriptions</t>
  </si>
  <si>
    <t xml:space="preserve">         BDV3060 Postage</t>
  </si>
  <si>
    <t xml:space="preserve">         BDV3061 Supplies</t>
  </si>
  <si>
    <t xml:space="preserve">         BDV3065 Printing</t>
  </si>
  <si>
    <t xml:space="preserve">         BDV3090 Travel</t>
  </si>
  <si>
    <t xml:space="preserve">         BDV3091 Travel Meals</t>
  </si>
  <si>
    <t xml:space="preserve">         BDV5000 Business Development Payroll Expenses</t>
  </si>
  <si>
    <t xml:space="preserve">            BDV5010 BDV Payroll Salary</t>
  </si>
  <si>
    <t xml:space="preserve">            BDV5015 BDV Health Insurance</t>
  </si>
  <si>
    <t xml:space="preserve">            BDV5025 BDV Payroll Taxes</t>
  </si>
  <si>
    <t xml:space="preserve">         Total BDV5000 Business Development Payroll Expenses</t>
  </si>
  <si>
    <t xml:space="preserve">         BDV5055 BDV Staff Appreciation</t>
  </si>
  <si>
    <t xml:space="preserve">         BDV7010 BDV Office Supplies</t>
  </si>
  <si>
    <t xml:space="preserve">      Total BDV1100 BUSINESS DEVELOPMENT</t>
  </si>
  <si>
    <t xml:space="preserve">      BSO1100 Business Office Expense</t>
  </si>
  <si>
    <t xml:space="preserve">         BSO1101 Business Office Corporate Support</t>
  </si>
  <si>
    <t xml:space="preserve">         BSO1102 Business Office Administrative Support</t>
  </si>
  <si>
    <t xml:space="preserve">         BSO5000 Business Office Payroll Expense</t>
  </si>
  <si>
    <t xml:space="preserve">            BSO5010 Business Office Salary Expense</t>
  </si>
  <si>
    <t xml:space="preserve">            BSO5015 Business Office Health Insurance</t>
  </si>
  <si>
    <t xml:space="preserve">            BSO5025 Business Office Payroll Taxes</t>
  </si>
  <si>
    <t xml:space="preserve">         Total BSO5000 Business Office Payroll Expense</t>
  </si>
  <si>
    <t xml:space="preserve">         BSO5040 Business Office Training &amp; Development</t>
  </si>
  <si>
    <t xml:space="preserve">         BSO5055 Business Office Staff Appreciation</t>
  </si>
  <si>
    <t xml:space="preserve">         BSO7010 Business Office - Office Supplies</t>
  </si>
  <si>
    <t xml:space="preserve">         BSO7035 Business Office Subscriptions &amp; Medical Coding Books</t>
  </si>
  <si>
    <t xml:space="preserve">      Total BSO1100 Business Office Expense</t>
  </si>
  <si>
    <t xml:space="preserve">      DTX1100 DETOX</t>
  </si>
  <si>
    <t xml:space="preserve">         DTX1101 Detox Corporate Support</t>
  </si>
  <si>
    <t xml:space="preserve">         DTX1102 Detox Administrative Support</t>
  </si>
  <si>
    <t xml:space="preserve">         DTX2036 Detox Bedding Supplies</t>
  </si>
  <si>
    <t xml:space="preserve">         DTX2039 Laundry Svc</t>
  </si>
  <si>
    <t xml:space="preserve">         DTX2041 Behavioral Health</t>
  </si>
  <si>
    <t xml:space="preserve">         DTX5000 Payroll Expenses</t>
  </si>
  <si>
    <t xml:space="preserve">            DTX5010 Payroll Salary</t>
  </si>
  <si>
    <t xml:space="preserve">            DTX5015 Health Insurance</t>
  </si>
  <si>
    <t xml:space="preserve">            DTX5025 Payroll Taxes</t>
  </si>
  <si>
    <t xml:space="preserve">         Total DTX5000 Payroll Expenses</t>
  </si>
  <si>
    <t xml:space="preserve">         DTX5055 Staff Appreciation</t>
  </si>
  <si>
    <t xml:space="preserve">      Total DTX1100 DETOX</t>
  </si>
  <si>
    <t xml:space="preserve">      FDS1100 FOOD SERVICE</t>
  </si>
  <si>
    <t xml:space="preserve">         FDS1101 Food Services Corporate Support</t>
  </si>
  <si>
    <t xml:space="preserve">         FDS1102 Food Services Administrative Support</t>
  </si>
  <si>
    <t xml:space="preserve">         FDS2050 Program Food</t>
  </si>
  <si>
    <t xml:space="preserve">         FDS5000 Payroll Expenses</t>
  </si>
  <si>
    <t xml:space="preserve">            FDS5010 Payroll Salary</t>
  </si>
  <si>
    <t xml:space="preserve">            FDS5015 Health Insurance</t>
  </si>
  <si>
    <t xml:space="preserve">            FDS5025 Payroll Taxes</t>
  </si>
  <si>
    <t xml:space="preserve">         Total FDS5000 Payroll Expenses</t>
  </si>
  <si>
    <t xml:space="preserve">         FDS5050 Staff Shirts</t>
  </si>
  <si>
    <t xml:space="preserve">         FDS5055 Staff Appreciation</t>
  </si>
  <si>
    <t xml:space="preserve">         FDS6036 Small Ware</t>
  </si>
  <si>
    <t xml:space="preserve">      Total FDS1100 FOOD SERVICE</t>
  </si>
  <si>
    <t xml:space="preserve">      IOP1100 IOP / OP</t>
  </si>
  <si>
    <t xml:space="preserve">         IOP1101 IOP Corporate Support</t>
  </si>
  <si>
    <t xml:space="preserve">         IOP1102 IOP Administrative Support</t>
  </si>
  <si>
    <t xml:space="preserve">         IOP2040 Direct Client Prof Serv</t>
  </si>
  <si>
    <t xml:space="preserve">         IOP2041 Behavioral Health</t>
  </si>
  <si>
    <t xml:space="preserve">         IOP2045 IOP Program Transporation</t>
  </si>
  <si>
    <t xml:space="preserve">         IOP2073 Group Supplies</t>
  </si>
  <si>
    <t xml:space="preserve">         IOP2075 IOP Recovery Activities</t>
  </si>
  <si>
    <t xml:space="preserve">         IOP5000 Payroll Expenses</t>
  </si>
  <si>
    <t xml:space="preserve">            IOP5010 Payroll Salary</t>
  </si>
  <si>
    <t xml:space="preserve">            IOP5015 Health Insurance</t>
  </si>
  <si>
    <t xml:space="preserve">            IOP5025 Payroll Taxes</t>
  </si>
  <si>
    <t xml:space="preserve">         Total IOP5000 Payroll Expenses</t>
  </si>
  <si>
    <t xml:space="preserve">         IOP5040 Staff Training</t>
  </si>
  <si>
    <t xml:space="preserve">         IOP5055 Staff Appreciation</t>
  </si>
  <si>
    <t xml:space="preserve">         IOP7010 IOP Office Supplies</t>
  </si>
  <si>
    <t xml:space="preserve">      Total IOP1100 IOP / OP</t>
  </si>
  <si>
    <t xml:space="preserve">      MED1100 MEDICAL SERVICES</t>
  </si>
  <si>
    <t xml:space="preserve">         MED1101 Clinic Corporate Support</t>
  </si>
  <si>
    <t xml:space="preserve">         MED1102 Clinic Administrative Support</t>
  </si>
  <si>
    <t xml:space="preserve">         MED2020 Entry Svcs-Medical</t>
  </si>
  <si>
    <t xml:space="preserve">         MED2037 Medication</t>
  </si>
  <si>
    <t xml:space="preserve">         MED2040 Direct Client Prof Serv</t>
  </si>
  <si>
    <t xml:space="preserve">         MED2065 Drug Testing Supplies</t>
  </si>
  <si>
    <t xml:space="preserve">         MED2067 Medical Supplies</t>
  </si>
  <si>
    <t xml:space="preserve">         MED5000 Payroll Expenses</t>
  </si>
  <si>
    <t xml:space="preserve">            MED5010 Payroll Salary</t>
  </si>
  <si>
    <t xml:space="preserve">            MED5015 Health Insurance</t>
  </si>
  <si>
    <t xml:space="preserve">            MED5025 Payroll Taxes</t>
  </si>
  <si>
    <t xml:space="preserve">            MED6022 Clinic Reimb</t>
  </si>
  <si>
    <t xml:space="preserve">         Total MED5000 Payroll Expenses</t>
  </si>
  <si>
    <t xml:space="preserve">         MED5040 Medical Staff Training</t>
  </si>
  <si>
    <t xml:space="preserve">         MED5055 Staff Appreciation</t>
  </si>
  <si>
    <t xml:space="preserve">         MED6011 Clinic Facility Furnishings</t>
  </si>
  <si>
    <t xml:space="preserve">         MED7010 Office Supplies</t>
  </si>
  <si>
    <t xml:space="preserve">         MED7035 Medical Dues/Subscriptions</t>
  </si>
  <si>
    <t xml:space="preserve">         MED8015 Clinic Travel Meals</t>
  </si>
  <si>
    <t xml:space="preserve">      Total MED1100 MEDICAL SERVICES</t>
  </si>
  <si>
    <t xml:space="preserve">      PHP1100 PHP Expenses</t>
  </si>
  <si>
    <t xml:space="preserve">         PHP1101 PHP Corporate Support</t>
  </si>
  <si>
    <t xml:space="preserve">         PHP1102 PHP Administrative Support</t>
  </si>
  <si>
    <t xml:space="preserve">         PHP2040 PHP Direct Client Prof Serv</t>
  </si>
  <si>
    <t xml:space="preserve">         PHP2041 Behavioral Health</t>
  </si>
  <si>
    <t xml:space="preserve">         PHP2073 PHP Group Supplies</t>
  </si>
  <si>
    <t xml:space="preserve">         PHP2075 PHP Recovery Activities</t>
  </si>
  <si>
    <t xml:space="preserve">         PHP5000 PHP Payroll Expenses</t>
  </si>
  <si>
    <t xml:space="preserve">            PHP5010 PHP Payroll Salary</t>
  </si>
  <si>
    <t xml:space="preserve">            PHP5015 PHP Personnel Health Insurance</t>
  </si>
  <si>
    <t xml:space="preserve">            PHP5025 PHP Payroll Taxes</t>
  </si>
  <si>
    <t xml:space="preserve">         Total PHP5000 PHP Payroll Expenses</t>
  </si>
  <si>
    <t xml:space="preserve">         PHP5040 Staff Training</t>
  </si>
  <si>
    <t xml:space="preserve">         PHP5055 PHP Staff Appreciation</t>
  </si>
  <si>
    <t xml:space="preserve">         PHP7010 PHP Office Supplies</t>
  </si>
  <si>
    <t xml:space="preserve">      Total PHP1100 PHP Expenses</t>
  </si>
  <si>
    <t xml:space="preserve">      RCC1100 RCC Expenses</t>
  </si>
  <si>
    <t xml:space="preserve">         RCC1101 Recovery Care Clinic Corporate Support</t>
  </si>
  <si>
    <t xml:space="preserve">         RCC2040 Recovery Care Clinic Direct Client Professional Services</t>
  </si>
  <si>
    <t xml:space="preserve">         RCC2041 Behavioral Health</t>
  </si>
  <si>
    <t xml:space="preserve">         RCC5010 Recovery Care Clinic Salary</t>
  </si>
  <si>
    <t xml:space="preserve">         RCC5025 Recovery Care Clinic Payroll Tax</t>
  </si>
  <si>
    <t xml:space="preserve">         RCC7010 RCC Office Supplies</t>
  </si>
  <si>
    <t xml:space="preserve">      Total RCC1100 RCC Expenses</t>
  </si>
  <si>
    <t xml:space="preserve">      RCS1100 Recovery Support Services</t>
  </si>
  <si>
    <t xml:space="preserve">         RCS1101 Recovery Support Services Corporate Support</t>
  </si>
  <si>
    <t xml:space="preserve">         RCS1102 Recovery Support Services Administrative Support</t>
  </si>
  <si>
    <t xml:space="preserve">         RCS2040 Direct Client Professional Services</t>
  </si>
  <si>
    <t xml:space="preserve">         RCS5000 Recovery Support Services Payroll Expense</t>
  </si>
  <si>
    <t xml:space="preserve">            RCS5010 Recovery Support Services Salary Expense</t>
  </si>
  <si>
    <t xml:space="preserve">            RCS5015 Recovery Support Health Insurance</t>
  </si>
  <si>
    <t xml:space="preserve">            RCS5025 Recovery Support Services Payroll Taxes</t>
  </si>
  <si>
    <t xml:space="preserve">            RCS6022 Recovery Support Reimbursement</t>
  </si>
  <si>
    <t xml:space="preserve">         Total RCS5000 Recovery Support Services Payroll Expense</t>
  </si>
  <si>
    <t xml:space="preserve">         RCS5055 Recovery Support Services Staff Appreciation</t>
  </si>
  <si>
    <t xml:space="preserve">      Total RCS1100 Recovery Support Services</t>
  </si>
  <si>
    <t xml:space="preserve">      RES1100 RESIDENTIAL TREATMENT</t>
  </si>
  <si>
    <t xml:space="preserve">         RES1101 Residential Corporate Support</t>
  </si>
  <si>
    <t xml:space="preserve">         RES1102 Residential Administrative Support</t>
  </si>
  <si>
    <t xml:space="preserve">         RES2010 Residential Services-Clothing</t>
  </si>
  <si>
    <t xml:space="preserve">         RES2040 Direct Client Prof Serv</t>
  </si>
  <si>
    <t xml:space="preserve">         RES2041 Behavioral Health</t>
  </si>
  <si>
    <t xml:space="preserve">         RES2045 Program Transportation</t>
  </si>
  <si>
    <t xml:space="preserve">         RES2073 Group Supplies</t>
  </si>
  <si>
    <t xml:space="preserve">            RES2074 RES Art Therapy Group Supplies</t>
  </si>
  <si>
    <t xml:space="preserve">         Total RES2073 Group Supplies</t>
  </si>
  <si>
    <t xml:space="preserve">         RES2075 Residential Recovery Activities</t>
  </si>
  <si>
    <t xml:space="preserve">         RES2078 Special Events</t>
  </si>
  <si>
    <t xml:space="preserve">         RES2079 Residential Family Services</t>
  </si>
  <si>
    <t xml:space="preserve">         RES5000 Payroll Expenses</t>
  </si>
  <si>
    <t xml:space="preserve">            RES5010 Payroll Salary</t>
  </si>
  <si>
    <t xml:space="preserve">            RES5015 Health Insurance</t>
  </si>
  <si>
    <t xml:space="preserve">            RES5025 Payroll Taxes</t>
  </si>
  <si>
    <t xml:space="preserve">            RES6022 Residential Reimb</t>
  </si>
  <si>
    <t xml:space="preserve">         Total RES5000 Payroll Expenses</t>
  </si>
  <si>
    <t xml:space="preserve">         RES5040 Residential Staff Training</t>
  </si>
  <si>
    <t xml:space="preserve">         RES5055 Staff Appreciation</t>
  </si>
  <si>
    <t xml:space="preserve">         RES6011 Residential Facility Furnishings</t>
  </si>
  <si>
    <t xml:space="preserve">         RES6026 Residential - Cleaning Supplies</t>
  </si>
  <si>
    <t xml:space="preserve">         RES7010 Residential Office Supplies</t>
  </si>
  <si>
    <t xml:space="preserve">         RES8010 Residential Travel</t>
  </si>
  <si>
    <t xml:space="preserve">         RES8015 Residential travel food</t>
  </si>
  <si>
    <t xml:space="preserve">         SPW1100 Spiritual Wellness</t>
  </si>
  <si>
    <t xml:space="preserve">      Total RES1100 RESIDENTIAL TREATMENT</t>
  </si>
  <si>
    <t xml:space="preserve">      UTR1100 Utilization Review Total Expenses</t>
  </si>
  <si>
    <t xml:space="preserve">         UTR1101 Utilization Review Corporate Support</t>
  </si>
  <si>
    <t xml:space="preserve">         UTR1102 Utilization Review Administrative Support</t>
  </si>
  <si>
    <t xml:space="preserve">         UTR5000 Utilization Review Payroll Expenses</t>
  </si>
  <si>
    <t xml:space="preserve">            UTR5010 Utilization Review Salary Expense</t>
  </si>
  <si>
    <t xml:space="preserve">            UTR5015 Utilization Review Health Insurance</t>
  </si>
  <si>
    <t xml:space="preserve">            UTR5025 Utilization Review Payroll Taxes</t>
  </si>
  <si>
    <t xml:space="preserve">         Total UTR5000 Utilization Review Payroll Expenses</t>
  </si>
  <si>
    <t xml:space="preserve">         UTR5040 Utilization Review Staff Training</t>
  </si>
  <si>
    <t xml:space="preserve">         UTR5055 Utilization Review Staff Appreciation</t>
  </si>
  <si>
    <t xml:space="preserve">      Total UTR1100 Utilization Review Total Expenses</t>
  </si>
  <si>
    <t xml:space="preserve">   Total NTX1100 Nashville Treatment Services Expense</t>
  </si>
  <si>
    <t>Total Expenses</t>
  </si>
  <si>
    <t>Net Operating Income</t>
  </si>
  <si>
    <t>Net Income</t>
  </si>
  <si>
    <t>The Next Door, Inc.</t>
  </si>
  <si>
    <t xml:space="preserve">Budget Overview: 2020 Budget - FY20 P&amp;L </t>
  </si>
  <si>
    <t>January - 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</si>
</sst>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8" fontId="3" fillId="0" borderId="0" xfId="0" applyNumberFormat="1" applyFont="1" applyAlignment="1">
      <alignment wrapText="1"/>
    </xf>
    <xf numFmtId="8" fontId="3" fillId="0" borderId="0" xfId="0" applyNumberFormat="1" applyFont="1" applyAlignment="1">
      <alignment horizontal="right" wrapText="1"/>
    </xf>
    <xf numFmtId="8" fontId="2" fillId="0" borderId="2" xfId="0" applyNumberFormat="1" applyFont="1" applyBorder="1" applyAlignment="1">
      <alignment horizontal="right" wrapText="1"/>
    </xf>
    <xf numFmtId="8" fontId="2" fillId="0" borderId="3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40"/>
  <sheetViews>
    <sheetView tabSelected="1" workbookViewId="0">
      <selection activeCell="A3" sqref="A3:N3"/>
    </sheetView>
  </sheetViews>
  <sheetFormatPr defaultRowHeight="15" x14ac:dyDescent="0.25"/>
  <cols>
    <col min="1" max="1" width="63.5703125" customWidth="1"/>
    <col min="2" max="2" width="11.140625" customWidth="1"/>
    <col min="3" max="6" width="10.28515625" customWidth="1"/>
    <col min="7" max="7" width="12" customWidth="1"/>
    <col min="8" max="8" width="11.140625" customWidth="1"/>
    <col min="9" max="9" width="10.28515625" customWidth="1"/>
    <col min="10" max="10" width="11.140625" customWidth="1"/>
    <col min="11" max="11" width="12" customWidth="1"/>
    <col min="12" max="13" width="10.28515625" customWidth="1"/>
    <col min="14" max="14" width="12.85546875" customWidth="1"/>
  </cols>
  <sheetData>
    <row r="1" spans="1:14" ht="18" x14ac:dyDescent="0.25">
      <c r="A1" s="6" t="s">
        <v>447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8" x14ac:dyDescent="0.25">
      <c r="A2" s="6" t="s">
        <v>448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7" t="s">
        <v>449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5" spans="1:14" x14ac:dyDescent="0.25">
      <c r="A5" s="1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</row>
    <row r="6" spans="1:14" x14ac:dyDescent="0.25">
      <c r="A6" s="3" t="s">
        <v>13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x14ac:dyDescent="0.25">
      <c r="A7" s="3" t="s">
        <v>14</v>
      </c>
      <c r="B7" s="9">
        <f>0</f>
        <v>0</v>
      </c>
      <c r="C7" s="9">
        <f>211350</f>
        <v>211350</v>
      </c>
      <c r="D7" s="9">
        <f>0</f>
        <v>0</v>
      </c>
      <c r="E7" s="9">
        <f>0</f>
        <v>0</v>
      </c>
      <c r="F7" s="9">
        <f>171200</f>
        <v>171200</v>
      </c>
      <c r="G7" s="9">
        <f>0</f>
        <v>0</v>
      </c>
      <c r="H7" s="9">
        <f>0</f>
        <v>0</v>
      </c>
      <c r="I7" s="9">
        <f>105350</f>
        <v>105350</v>
      </c>
      <c r="J7" s="9">
        <f>0</f>
        <v>0</v>
      </c>
      <c r="K7" s="9">
        <f>0</f>
        <v>0</v>
      </c>
      <c r="L7" s="9">
        <f>146416.19</f>
        <v>146416.19</v>
      </c>
      <c r="M7" s="9">
        <f>0</f>
        <v>0</v>
      </c>
      <c r="N7" s="9">
        <f t="shared" ref="N7:N38" si="0">(((((((((((B7)+(C7))+(D7))+(E7))+(F7))+(G7))+(H7))+(I7))+(J7))+(K7))+(L7))+(M7)</f>
        <v>634316.18999999994</v>
      </c>
    </row>
    <row r="8" spans="1:14" x14ac:dyDescent="0.25">
      <c r="A8" s="3" t="s">
        <v>15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>
        <f t="shared" si="0"/>
        <v>0</v>
      </c>
    </row>
    <row r="9" spans="1:14" x14ac:dyDescent="0.25">
      <c r="A9" s="3" t="s">
        <v>16</v>
      </c>
      <c r="B9" s="9">
        <f>200</f>
        <v>200</v>
      </c>
      <c r="C9" s="9">
        <f>200</f>
        <v>200</v>
      </c>
      <c r="D9" s="9">
        <f>200</f>
        <v>200</v>
      </c>
      <c r="E9" s="9">
        <f>4200</f>
        <v>4200</v>
      </c>
      <c r="F9" s="9">
        <f>10000</f>
        <v>10000</v>
      </c>
      <c r="G9" s="9">
        <f>4000</f>
        <v>4000</v>
      </c>
      <c r="H9" s="9">
        <f>200</f>
        <v>200</v>
      </c>
      <c r="I9" s="9">
        <f>200</f>
        <v>200</v>
      </c>
      <c r="J9" s="9">
        <f>200</f>
        <v>200</v>
      </c>
      <c r="K9" s="9">
        <f>200</f>
        <v>200</v>
      </c>
      <c r="L9" s="9">
        <f>200</f>
        <v>200</v>
      </c>
      <c r="M9" s="9">
        <f>200</f>
        <v>200</v>
      </c>
      <c r="N9" s="9">
        <f t="shared" si="0"/>
        <v>20000</v>
      </c>
    </row>
    <row r="10" spans="1:14" x14ac:dyDescent="0.25">
      <c r="A10" s="3" t="s">
        <v>17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>
        <f t="shared" si="0"/>
        <v>0</v>
      </c>
    </row>
    <row r="11" spans="1:14" x14ac:dyDescent="0.25">
      <c r="A11" s="3" t="s">
        <v>18</v>
      </c>
      <c r="B11" s="9">
        <f t="shared" ref="B11:L11" si="1">4540.92</f>
        <v>4540.92</v>
      </c>
      <c r="C11" s="9">
        <f t="shared" si="1"/>
        <v>4540.92</v>
      </c>
      <c r="D11" s="9">
        <f t="shared" si="1"/>
        <v>4540.92</v>
      </c>
      <c r="E11" s="9">
        <f t="shared" si="1"/>
        <v>4540.92</v>
      </c>
      <c r="F11" s="9">
        <f t="shared" si="1"/>
        <v>4540.92</v>
      </c>
      <c r="G11" s="9">
        <f t="shared" si="1"/>
        <v>4540.92</v>
      </c>
      <c r="H11" s="9">
        <f t="shared" si="1"/>
        <v>4540.92</v>
      </c>
      <c r="I11" s="9">
        <f t="shared" si="1"/>
        <v>4540.92</v>
      </c>
      <c r="J11" s="9">
        <f t="shared" si="1"/>
        <v>4540.92</v>
      </c>
      <c r="K11" s="9">
        <f t="shared" si="1"/>
        <v>4540.92</v>
      </c>
      <c r="L11" s="9">
        <f t="shared" si="1"/>
        <v>4540.92</v>
      </c>
      <c r="M11" s="9">
        <f>4540.88</f>
        <v>4540.88</v>
      </c>
      <c r="N11" s="9">
        <f t="shared" si="0"/>
        <v>54490.999999999985</v>
      </c>
    </row>
    <row r="12" spans="1:14" x14ac:dyDescent="0.25">
      <c r="A12" s="3" t="s">
        <v>19</v>
      </c>
      <c r="B12" s="9">
        <f>0</f>
        <v>0</v>
      </c>
      <c r="C12" s="9">
        <f>0</f>
        <v>0</v>
      </c>
      <c r="D12" s="9">
        <f>0</f>
        <v>0</v>
      </c>
      <c r="E12" s="9">
        <f>0</f>
        <v>0</v>
      </c>
      <c r="F12" s="9">
        <f>0</f>
        <v>0</v>
      </c>
      <c r="G12" s="9">
        <f>0</f>
        <v>0</v>
      </c>
      <c r="H12" s="9">
        <f>3000</f>
        <v>3000</v>
      </c>
      <c r="I12" s="9">
        <f>3000</f>
        <v>3000</v>
      </c>
      <c r="J12" s="9">
        <f>3000</f>
        <v>3000</v>
      </c>
      <c r="K12" s="9">
        <f>3000</f>
        <v>3000</v>
      </c>
      <c r="L12" s="9">
        <f>3000</f>
        <v>3000</v>
      </c>
      <c r="M12" s="9">
        <f>3000</f>
        <v>3000</v>
      </c>
      <c r="N12" s="9">
        <f t="shared" si="0"/>
        <v>18000</v>
      </c>
    </row>
    <row r="13" spans="1:14" x14ac:dyDescent="0.25">
      <c r="A13" s="3" t="s">
        <v>20</v>
      </c>
      <c r="B13" s="9">
        <f>53010</f>
        <v>53010</v>
      </c>
      <c r="C13" s="9">
        <f>47880</f>
        <v>47880</v>
      </c>
      <c r="D13" s="9">
        <f>53010</f>
        <v>53010</v>
      </c>
      <c r="E13" s="9">
        <f>51300</f>
        <v>51300</v>
      </c>
      <c r="F13" s="9">
        <f>53010</f>
        <v>53010</v>
      </c>
      <c r="G13" s="9">
        <f>51300</f>
        <v>51300</v>
      </c>
      <c r="H13" s="9">
        <f>53010</f>
        <v>53010</v>
      </c>
      <c r="I13" s="9">
        <f>53010</f>
        <v>53010</v>
      </c>
      <c r="J13" s="9">
        <f>51300</f>
        <v>51300</v>
      </c>
      <c r="K13" s="9">
        <f>53010</f>
        <v>53010</v>
      </c>
      <c r="L13" s="9">
        <f>51300</f>
        <v>51300</v>
      </c>
      <c r="M13" s="9">
        <f>53010</f>
        <v>53010</v>
      </c>
      <c r="N13" s="9">
        <f t="shared" si="0"/>
        <v>624150</v>
      </c>
    </row>
    <row r="14" spans="1:14" x14ac:dyDescent="0.25">
      <c r="A14" s="3" t="s">
        <v>21</v>
      </c>
      <c r="B14" s="10">
        <f t="shared" ref="B14:M14" si="2">(((B10)+(B11))+(B12))+(B13)</f>
        <v>57550.92</v>
      </c>
      <c r="C14" s="10">
        <f t="shared" si="2"/>
        <v>52420.92</v>
      </c>
      <c r="D14" s="10">
        <f t="shared" si="2"/>
        <v>57550.92</v>
      </c>
      <c r="E14" s="10">
        <f t="shared" si="2"/>
        <v>55840.92</v>
      </c>
      <c r="F14" s="10">
        <f t="shared" si="2"/>
        <v>57550.92</v>
      </c>
      <c r="G14" s="10">
        <f t="shared" si="2"/>
        <v>55840.92</v>
      </c>
      <c r="H14" s="10">
        <f t="shared" si="2"/>
        <v>60550.92</v>
      </c>
      <c r="I14" s="10">
        <f t="shared" si="2"/>
        <v>60550.92</v>
      </c>
      <c r="J14" s="10">
        <f t="shared" si="2"/>
        <v>58840.92</v>
      </c>
      <c r="K14" s="10">
        <f t="shared" si="2"/>
        <v>60550.92</v>
      </c>
      <c r="L14" s="10">
        <f t="shared" si="2"/>
        <v>58840.92</v>
      </c>
      <c r="M14" s="10">
        <f t="shared" si="2"/>
        <v>60550.879999999997</v>
      </c>
      <c r="N14" s="10">
        <f t="shared" si="0"/>
        <v>696641</v>
      </c>
    </row>
    <row r="15" spans="1:14" x14ac:dyDescent="0.25">
      <c r="A15" s="3" t="s">
        <v>22</v>
      </c>
      <c r="B15" s="10">
        <f t="shared" ref="B15:M15" si="3">((B8)+(B9))+(B14)</f>
        <v>57750.92</v>
      </c>
      <c r="C15" s="10">
        <f t="shared" si="3"/>
        <v>52620.92</v>
      </c>
      <c r="D15" s="10">
        <f t="shared" si="3"/>
        <v>57750.92</v>
      </c>
      <c r="E15" s="10">
        <f t="shared" si="3"/>
        <v>60040.92</v>
      </c>
      <c r="F15" s="10">
        <f t="shared" si="3"/>
        <v>67550.92</v>
      </c>
      <c r="G15" s="10">
        <f t="shared" si="3"/>
        <v>59840.92</v>
      </c>
      <c r="H15" s="10">
        <f t="shared" si="3"/>
        <v>60750.92</v>
      </c>
      <c r="I15" s="10">
        <f t="shared" si="3"/>
        <v>60750.92</v>
      </c>
      <c r="J15" s="10">
        <f t="shared" si="3"/>
        <v>59040.92</v>
      </c>
      <c r="K15" s="10">
        <f t="shared" si="3"/>
        <v>60750.92</v>
      </c>
      <c r="L15" s="10">
        <f t="shared" si="3"/>
        <v>59040.92</v>
      </c>
      <c r="M15" s="10">
        <f t="shared" si="3"/>
        <v>60750.879999999997</v>
      </c>
      <c r="N15" s="10">
        <f t="shared" si="0"/>
        <v>716641</v>
      </c>
    </row>
    <row r="16" spans="1:14" x14ac:dyDescent="0.25">
      <c r="A16" s="3" t="s">
        <v>23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>
        <f t="shared" si="0"/>
        <v>0</v>
      </c>
    </row>
    <row r="17" spans="1:14" x14ac:dyDescent="0.25">
      <c r="A17" s="3" t="s">
        <v>24</v>
      </c>
      <c r="B17" s="9">
        <f>2500</f>
        <v>2500</v>
      </c>
      <c r="C17" s="9">
        <f>2500</f>
        <v>2500</v>
      </c>
      <c r="D17" s="9">
        <f>2500</f>
        <v>2500</v>
      </c>
      <c r="E17" s="9">
        <f>2500</f>
        <v>2500</v>
      </c>
      <c r="F17" s="9">
        <f>2500</f>
        <v>2500</v>
      </c>
      <c r="G17" s="9">
        <f>2500</f>
        <v>2500</v>
      </c>
      <c r="H17" s="9">
        <f>2500</f>
        <v>2500</v>
      </c>
      <c r="I17" s="9">
        <f>2500</f>
        <v>2500</v>
      </c>
      <c r="J17" s="9">
        <f>2500</f>
        <v>2500</v>
      </c>
      <c r="K17" s="9">
        <f>2500</f>
        <v>2500</v>
      </c>
      <c r="L17" s="9">
        <f>2500</f>
        <v>2500</v>
      </c>
      <c r="M17" s="9">
        <f>2500</f>
        <v>2500</v>
      </c>
      <c r="N17" s="9">
        <f t="shared" si="0"/>
        <v>30000</v>
      </c>
    </row>
    <row r="18" spans="1:14" x14ac:dyDescent="0.25">
      <c r="A18" s="3" t="s">
        <v>25</v>
      </c>
      <c r="B18" s="9">
        <f>6010.25</f>
        <v>6010.25</v>
      </c>
      <c r="C18" s="9">
        <f>8010.25</f>
        <v>8010.25</v>
      </c>
      <c r="D18" s="9">
        <f>8010.25</f>
        <v>8010.25</v>
      </c>
      <c r="E18" s="9">
        <f>8010.25</f>
        <v>8010.25</v>
      </c>
      <c r="F18" s="9">
        <f>8010.25</f>
        <v>8010.25</v>
      </c>
      <c r="G18" s="9">
        <f>8010.25</f>
        <v>8010.25</v>
      </c>
      <c r="H18" s="9">
        <f>10010.25</f>
        <v>10010.25</v>
      </c>
      <c r="I18" s="9">
        <f>8010.25</f>
        <v>8010.25</v>
      </c>
      <c r="J18" s="9">
        <f>8010.25</f>
        <v>8010.25</v>
      </c>
      <c r="K18" s="9">
        <f>8010.25</f>
        <v>8010.25</v>
      </c>
      <c r="L18" s="9">
        <f>8010.25</f>
        <v>8010.25</v>
      </c>
      <c r="M18" s="9">
        <f>8010.25</f>
        <v>8010.25</v>
      </c>
      <c r="N18" s="9">
        <f t="shared" si="0"/>
        <v>96123</v>
      </c>
    </row>
    <row r="19" spans="1:14" x14ac:dyDescent="0.25">
      <c r="A19" s="3" t="s">
        <v>26</v>
      </c>
      <c r="B19" s="9">
        <f t="shared" ref="B19:L19" si="4">3208.33</f>
        <v>3208.33</v>
      </c>
      <c r="C19" s="9">
        <f t="shared" si="4"/>
        <v>3208.33</v>
      </c>
      <c r="D19" s="9">
        <f t="shared" si="4"/>
        <v>3208.33</v>
      </c>
      <c r="E19" s="9">
        <f t="shared" si="4"/>
        <v>3208.33</v>
      </c>
      <c r="F19" s="9">
        <f t="shared" si="4"/>
        <v>3208.33</v>
      </c>
      <c r="G19" s="9">
        <f t="shared" si="4"/>
        <v>3208.33</v>
      </c>
      <c r="H19" s="9">
        <f t="shared" si="4"/>
        <v>3208.33</v>
      </c>
      <c r="I19" s="9">
        <f t="shared" si="4"/>
        <v>3208.33</v>
      </c>
      <c r="J19" s="9">
        <f t="shared" si="4"/>
        <v>3208.33</v>
      </c>
      <c r="K19" s="9">
        <f t="shared" si="4"/>
        <v>3208.33</v>
      </c>
      <c r="L19" s="9">
        <f t="shared" si="4"/>
        <v>3208.33</v>
      </c>
      <c r="M19" s="9">
        <f>3208.37</f>
        <v>3208.37</v>
      </c>
      <c r="N19" s="9">
        <f t="shared" si="0"/>
        <v>38500.000000000007</v>
      </c>
    </row>
    <row r="20" spans="1:14" x14ac:dyDescent="0.25">
      <c r="A20" s="3" t="s">
        <v>27</v>
      </c>
      <c r="B20" s="9">
        <f t="shared" ref="B20:L20" si="5">1929.17</f>
        <v>1929.17</v>
      </c>
      <c r="C20" s="9">
        <f t="shared" si="5"/>
        <v>1929.17</v>
      </c>
      <c r="D20" s="9">
        <f t="shared" si="5"/>
        <v>1929.17</v>
      </c>
      <c r="E20" s="9">
        <f t="shared" si="5"/>
        <v>1929.17</v>
      </c>
      <c r="F20" s="9">
        <f t="shared" si="5"/>
        <v>1929.17</v>
      </c>
      <c r="G20" s="9">
        <f t="shared" si="5"/>
        <v>1929.17</v>
      </c>
      <c r="H20" s="9">
        <f t="shared" si="5"/>
        <v>1929.17</v>
      </c>
      <c r="I20" s="9">
        <f t="shared" si="5"/>
        <v>1929.17</v>
      </c>
      <c r="J20" s="9">
        <f t="shared" si="5"/>
        <v>1929.17</v>
      </c>
      <c r="K20" s="9">
        <f t="shared" si="5"/>
        <v>1929.17</v>
      </c>
      <c r="L20" s="9">
        <f t="shared" si="5"/>
        <v>1929.17</v>
      </c>
      <c r="M20" s="9">
        <f>1929.13</f>
        <v>1929.13</v>
      </c>
      <c r="N20" s="9">
        <f t="shared" si="0"/>
        <v>23149.999999999996</v>
      </c>
    </row>
    <row r="21" spans="1:14" x14ac:dyDescent="0.25">
      <c r="A21" s="3" t="s">
        <v>28</v>
      </c>
      <c r="B21" s="9">
        <f t="shared" ref="B21:M21" si="6">2907.5</f>
        <v>2907.5</v>
      </c>
      <c r="C21" s="9">
        <f t="shared" si="6"/>
        <v>2907.5</v>
      </c>
      <c r="D21" s="9">
        <f t="shared" si="6"/>
        <v>2907.5</v>
      </c>
      <c r="E21" s="9">
        <f t="shared" si="6"/>
        <v>2907.5</v>
      </c>
      <c r="F21" s="9">
        <f t="shared" si="6"/>
        <v>2907.5</v>
      </c>
      <c r="G21" s="9">
        <f t="shared" si="6"/>
        <v>2907.5</v>
      </c>
      <c r="H21" s="9">
        <f t="shared" si="6"/>
        <v>2907.5</v>
      </c>
      <c r="I21" s="9">
        <f t="shared" si="6"/>
        <v>2907.5</v>
      </c>
      <c r="J21" s="9">
        <f t="shared" si="6"/>
        <v>2907.5</v>
      </c>
      <c r="K21" s="9">
        <f t="shared" si="6"/>
        <v>2907.5</v>
      </c>
      <c r="L21" s="9">
        <f t="shared" si="6"/>
        <v>2907.5</v>
      </c>
      <c r="M21" s="9">
        <f t="shared" si="6"/>
        <v>2907.5</v>
      </c>
      <c r="N21" s="9">
        <f t="shared" si="0"/>
        <v>34890</v>
      </c>
    </row>
    <row r="22" spans="1:14" x14ac:dyDescent="0.25">
      <c r="A22" s="3" t="s">
        <v>29</v>
      </c>
      <c r="B22" s="9">
        <f t="shared" ref="B22:L22" si="7">2833.33</f>
        <v>2833.33</v>
      </c>
      <c r="C22" s="9">
        <f t="shared" si="7"/>
        <v>2833.33</v>
      </c>
      <c r="D22" s="9">
        <f t="shared" si="7"/>
        <v>2833.33</v>
      </c>
      <c r="E22" s="9">
        <f t="shared" si="7"/>
        <v>2833.33</v>
      </c>
      <c r="F22" s="9">
        <f t="shared" si="7"/>
        <v>2833.33</v>
      </c>
      <c r="G22" s="9">
        <f t="shared" si="7"/>
        <v>2833.33</v>
      </c>
      <c r="H22" s="9">
        <f t="shared" si="7"/>
        <v>2833.33</v>
      </c>
      <c r="I22" s="9">
        <f t="shared" si="7"/>
        <v>2833.33</v>
      </c>
      <c r="J22" s="9">
        <f t="shared" si="7"/>
        <v>2833.33</v>
      </c>
      <c r="K22" s="9">
        <f t="shared" si="7"/>
        <v>2833.33</v>
      </c>
      <c r="L22" s="9">
        <f t="shared" si="7"/>
        <v>2833.33</v>
      </c>
      <c r="M22" s="9">
        <f>2833.37</f>
        <v>2833.37</v>
      </c>
      <c r="N22" s="9">
        <f t="shared" si="0"/>
        <v>34000.000000000007</v>
      </c>
    </row>
    <row r="23" spans="1:14" x14ac:dyDescent="0.25">
      <c r="A23" s="3" t="s">
        <v>30</v>
      </c>
      <c r="B23" s="9">
        <f t="shared" ref="B23:L23" si="8">2416.67</f>
        <v>2416.67</v>
      </c>
      <c r="C23" s="9">
        <f t="shared" si="8"/>
        <v>2416.67</v>
      </c>
      <c r="D23" s="9">
        <f t="shared" si="8"/>
        <v>2416.67</v>
      </c>
      <c r="E23" s="9">
        <f t="shared" si="8"/>
        <v>2416.67</v>
      </c>
      <c r="F23" s="9">
        <f t="shared" si="8"/>
        <v>2416.67</v>
      </c>
      <c r="G23" s="9">
        <f t="shared" si="8"/>
        <v>2416.67</v>
      </c>
      <c r="H23" s="9">
        <f t="shared" si="8"/>
        <v>2416.67</v>
      </c>
      <c r="I23" s="9">
        <f t="shared" si="8"/>
        <v>2416.67</v>
      </c>
      <c r="J23" s="9">
        <f t="shared" si="8"/>
        <v>2416.67</v>
      </c>
      <c r="K23" s="9">
        <f t="shared" si="8"/>
        <v>2416.67</v>
      </c>
      <c r="L23" s="9">
        <f t="shared" si="8"/>
        <v>2416.67</v>
      </c>
      <c r="M23" s="9">
        <f>2416.63</f>
        <v>2416.63</v>
      </c>
      <c r="N23" s="9">
        <f t="shared" si="0"/>
        <v>28999.999999999996</v>
      </c>
    </row>
    <row r="24" spans="1:14" x14ac:dyDescent="0.25">
      <c r="A24" s="3" t="s">
        <v>31</v>
      </c>
      <c r="B24" s="9">
        <f t="shared" ref="B24:L24" si="9">208.33</f>
        <v>208.33</v>
      </c>
      <c r="C24" s="9">
        <f t="shared" si="9"/>
        <v>208.33</v>
      </c>
      <c r="D24" s="9">
        <f t="shared" si="9"/>
        <v>208.33</v>
      </c>
      <c r="E24" s="9">
        <f t="shared" si="9"/>
        <v>208.33</v>
      </c>
      <c r="F24" s="9">
        <f t="shared" si="9"/>
        <v>208.33</v>
      </c>
      <c r="G24" s="9">
        <f t="shared" si="9"/>
        <v>208.33</v>
      </c>
      <c r="H24" s="9">
        <f t="shared" si="9"/>
        <v>208.33</v>
      </c>
      <c r="I24" s="9">
        <f t="shared" si="9"/>
        <v>208.33</v>
      </c>
      <c r="J24" s="9">
        <f t="shared" si="9"/>
        <v>208.33</v>
      </c>
      <c r="K24" s="9">
        <f t="shared" si="9"/>
        <v>208.33</v>
      </c>
      <c r="L24" s="9">
        <f t="shared" si="9"/>
        <v>208.33</v>
      </c>
      <c r="M24" s="9">
        <f>208.37</f>
        <v>208.37</v>
      </c>
      <c r="N24" s="9">
        <f t="shared" si="0"/>
        <v>2499.9999999999995</v>
      </c>
    </row>
    <row r="25" spans="1:14" x14ac:dyDescent="0.25">
      <c r="A25" s="3" t="s">
        <v>32</v>
      </c>
      <c r="B25" s="10">
        <f t="shared" ref="B25:M25" si="10">((((((((B16)+(B17))+(B18))+(B19))+(B20))+(B21))+(B22))+(B23))+(B24)</f>
        <v>22013.58</v>
      </c>
      <c r="C25" s="10">
        <f t="shared" si="10"/>
        <v>24013.58</v>
      </c>
      <c r="D25" s="10">
        <f t="shared" si="10"/>
        <v>24013.58</v>
      </c>
      <c r="E25" s="10">
        <f t="shared" si="10"/>
        <v>24013.58</v>
      </c>
      <c r="F25" s="10">
        <f t="shared" si="10"/>
        <v>24013.58</v>
      </c>
      <c r="G25" s="10">
        <f t="shared" si="10"/>
        <v>24013.58</v>
      </c>
      <c r="H25" s="10">
        <f t="shared" si="10"/>
        <v>26013.58</v>
      </c>
      <c r="I25" s="10">
        <f t="shared" si="10"/>
        <v>24013.58</v>
      </c>
      <c r="J25" s="10">
        <f t="shared" si="10"/>
        <v>24013.58</v>
      </c>
      <c r="K25" s="10">
        <f t="shared" si="10"/>
        <v>24013.58</v>
      </c>
      <c r="L25" s="10">
        <f t="shared" si="10"/>
        <v>24013.58</v>
      </c>
      <c r="M25" s="10">
        <f t="shared" si="10"/>
        <v>24013.62</v>
      </c>
      <c r="N25" s="10">
        <f t="shared" si="0"/>
        <v>288163.00000000006</v>
      </c>
    </row>
    <row r="26" spans="1:14" x14ac:dyDescent="0.25">
      <c r="A26" s="3" t="s">
        <v>33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>
        <f t="shared" si="0"/>
        <v>0</v>
      </c>
    </row>
    <row r="27" spans="1:14" x14ac:dyDescent="0.25">
      <c r="A27" s="3" t="s">
        <v>34</v>
      </c>
      <c r="B27" s="9">
        <f t="shared" ref="B27:L27" si="11">16.67</f>
        <v>16.670000000000002</v>
      </c>
      <c r="C27" s="9">
        <f t="shared" si="11"/>
        <v>16.670000000000002</v>
      </c>
      <c r="D27" s="9">
        <f t="shared" si="11"/>
        <v>16.670000000000002</v>
      </c>
      <c r="E27" s="9">
        <f t="shared" si="11"/>
        <v>16.670000000000002</v>
      </c>
      <c r="F27" s="9">
        <f t="shared" si="11"/>
        <v>16.670000000000002</v>
      </c>
      <c r="G27" s="9">
        <f t="shared" si="11"/>
        <v>16.670000000000002</v>
      </c>
      <c r="H27" s="9">
        <f t="shared" si="11"/>
        <v>16.670000000000002</v>
      </c>
      <c r="I27" s="9">
        <f t="shared" si="11"/>
        <v>16.670000000000002</v>
      </c>
      <c r="J27" s="9">
        <f t="shared" si="11"/>
        <v>16.670000000000002</v>
      </c>
      <c r="K27" s="9">
        <f t="shared" si="11"/>
        <v>16.670000000000002</v>
      </c>
      <c r="L27" s="9">
        <f t="shared" si="11"/>
        <v>16.670000000000002</v>
      </c>
      <c r="M27" s="9">
        <f>16.63</f>
        <v>16.63</v>
      </c>
      <c r="N27" s="9">
        <f t="shared" si="0"/>
        <v>200.00000000000006</v>
      </c>
    </row>
    <row r="28" spans="1:14" x14ac:dyDescent="0.25">
      <c r="A28" s="3" t="s">
        <v>35</v>
      </c>
      <c r="B28" s="9">
        <f>10175</f>
        <v>10175</v>
      </c>
      <c r="C28" s="9">
        <f>10175</f>
        <v>10175</v>
      </c>
      <c r="D28" s="9">
        <f>10175</f>
        <v>10175</v>
      </c>
      <c r="E28" s="9">
        <f>10175</f>
        <v>10175</v>
      </c>
      <c r="F28" s="9">
        <f>10175</f>
        <v>10175</v>
      </c>
      <c r="G28" s="9">
        <f>10175</f>
        <v>10175</v>
      </c>
      <c r="H28" s="9">
        <f>10175</f>
        <v>10175</v>
      </c>
      <c r="I28" s="9">
        <f>10175</f>
        <v>10175</v>
      </c>
      <c r="J28" s="9">
        <f>10175</f>
        <v>10175</v>
      </c>
      <c r="K28" s="9">
        <f>197.22</f>
        <v>197.22</v>
      </c>
      <c r="L28" s="9">
        <f>197.22</f>
        <v>197.22</v>
      </c>
      <c r="M28" s="9">
        <f>197.23</f>
        <v>197.23</v>
      </c>
      <c r="N28" s="9">
        <f t="shared" si="0"/>
        <v>92166.67</v>
      </c>
    </row>
    <row r="29" spans="1:14" x14ac:dyDescent="0.25">
      <c r="A29" s="3" t="s">
        <v>36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9">
        <f t="shared" si="0"/>
        <v>0</v>
      </c>
    </row>
    <row r="30" spans="1:14" x14ac:dyDescent="0.25">
      <c r="A30" s="3" t="s">
        <v>37</v>
      </c>
      <c r="B30" s="9">
        <f>15750</f>
        <v>15750</v>
      </c>
      <c r="C30" s="9">
        <f>50250</f>
        <v>50250</v>
      </c>
      <c r="D30" s="9">
        <f>53750</f>
        <v>53750</v>
      </c>
      <c r="E30" s="9">
        <f>128750</f>
        <v>128750</v>
      </c>
      <c r="F30" s="9">
        <f>48750</f>
        <v>48750</v>
      </c>
      <c r="G30" s="9">
        <f>33750</f>
        <v>33750</v>
      </c>
      <c r="H30" s="9">
        <f>38750</f>
        <v>38750</v>
      </c>
      <c r="I30" s="9">
        <f>13750</f>
        <v>13750</v>
      </c>
      <c r="J30" s="9">
        <f>20750</f>
        <v>20750</v>
      </c>
      <c r="K30" s="9">
        <f>28750</f>
        <v>28750</v>
      </c>
      <c r="L30" s="9">
        <f>18750</f>
        <v>18750</v>
      </c>
      <c r="M30" s="9">
        <f>108750</f>
        <v>108750</v>
      </c>
      <c r="N30" s="9">
        <f t="shared" si="0"/>
        <v>560500</v>
      </c>
    </row>
    <row r="31" spans="1:14" x14ac:dyDescent="0.25">
      <c r="A31" s="3" t="s">
        <v>38</v>
      </c>
      <c r="B31" s="9">
        <f>0</f>
        <v>0</v>
      </c>
      <c r="C31" s="9">
        <f>45000</f>
        <v>45000</v>
      </c>
      <c r="D31" s="9">
        <f>15000</f>
        <v>15000</v>
      </c>
      <c r="E31" s="9">
        <f>50000</f>
        <v>50000</v>
      </c>
      <c r="F31" s="9">
        <f>20000</f>
        <v>20000</v>
      </c>
      <c r="G31" s="9">
        <f>40000</f>
        <v>40000</v>
      </c>
      <c r="H31" s="9">
        <f>60000</f>
        <v>60000</v>
      </c>
      <c r="I31" s="9">
        <f>60000</f>
        <v>60000</v>
      </c>
      <c r="J31" s="9">
        <f>90000</f>
        <v>90000</v>
      </c>
      <c r="K31" s="9">
        <f>250000</f>
        <v>250000</v>
      </c>
      <c r="L31" s="9">
        <f>50000</f>
        <v>50000</v>
      </c>
      <c r="M31" s="9">
        <f>10000</f>
        <v>10000</v>
      </c>
      <c r="N31" s="9">
        <f t="shared" si="0"/>
        <v>690000</v>
      </c>
    </row>
    <row r="32" spans="1:14" x14ac:dyDescent="0.25">
      <c r="A32" s="3" t="s">
        <v>39</v>
      </c>
      <c r="B32" s="9">
        <f>5500</f>
        <v>5500</v>
      </c>
      <c r="C32" s="9">
        <f>1000</f>
        <v>1000</v>
      </c>
      <c r="D32" s="9">
        <f>1000</f>
        <v>1000</v>
      </c>
      <c r="E32" s="9">
        <f>3000</f>
        <v>3000</v>
      </c>
      <c r="F32" s="9">
        <f>2000</f>
        <v>2000</v>
      </c>
      <c r="G32" s="9">
        <f>1000</f>
        <v>1000</v>
      </c>
      <c r="H32" s="9">
        <f>1000</f>
        <v>1000</v>
      </c>
      <c r="I32" s="9">
        <f>1500</f>
        <v>1500</v>
      </c>
      <c r="J32" s="9">
        <f>1500</f>
        <v>1500</v>
      </c>
      <c r="K32" s="9">
        <f>1000</f>
        <v>1000</v>
      </c>
      <c r="L32" s="9">
        <f>3000</f>
        <v>3000</v>
      </c>
      <c r="M32" s="9">
        <f>3000</f>
        <v>3000</v>
      </c>
      <c r="N32" s="9">
        <f t="shared" si="0"/>
        <v>24500</v>
      </c>
    </row>
    <row r="33" spans="1:14" x14ac:dyDescent="0.25">
      <c r="A33" s="3" t="s">
        <v>40</v>
      </c>
      <c r="B33" s="9">
        <f>63000</f>
        <v>63000</v>
      </c>
      <c r="C33" s="9">
        <f>20000</f>
        <v>20000</v>
      </c>
      <c r="D33" s="9">
        <f>75000</f>
        <v>75000</v>
      </c>
      <c r="E33" s="9">
        <f>35000</f>
        <v>35000</v>
      </c>
      <c r="F33" s="9">
        <f>15000</f>
        <v>15000</v>
      </c>
      <c r="G33" s="9">
        <f>10000</f>
        <v>10000</v>
      </c>
      <c r="H33" s="9">
        <f>10000</f>
        <v>10000</v>
      </c>
      <c r="I33" s="9">
        <f>15000</f>
        <v>15000</v>
      </c>
      <c r="J33" s="9">
        <f>25000</f>
        <v>25000</v>
      </c>
      <c r="K33" s="9">
        <f>20000</f>
        <v>20000</v>
      </c>
      <c r="L33" s="9">
        <f>15000</f>
        <v>15000</v>
      </c>
      <c r="M33" s="9">
        <f>150000</f>
        <v>150000</v>
      </c>
      <c r="N33" s="9">
        <f t="shared" si="0"/>
        <v>453000</v>
      </c>
    </row>
    <row r="34" spans="1:14" x14ac:dyDescent="0.25">
      <c r="A34" s="3" t="s">
        <v>41</v>
      </c>
      <c r="B34" s="9">
        <f>1250</f>
        <v>1250</v>
      </c>
      <c r="C34" s="9">
        <f>1250</f>
        <v>1250</v>
      </c>
      <c r="D34" s="9">
        <f>1250</f>
        <v>1250</v>
      </c>
      <c r="E34" s="9">
        <f>1250</f>
        <v>1250</v>
      </c>
      <c r="F34" s="9">
        <f>1250</f>
        <v>1250</v>
      </c>
      <c r="G34" s="9">
        <f>1250</f>
        <v>1250</v>
      </c>
      <c r="H34" s="9">
        <f>1250</f>
        <v>1250</v>
      </c>
      <c r="I34" s="9">
        <f>1250</f>
        <v>1250</v>
      </c>
      <c r="J34" s="9">
        <f>1250</f>
        <v>1250</v>
      </c>
      <c r="K34" s="9">
        <f>1250</f>
        <v>1250</v>
      </c>
      <c r="L34" s="9">
        <f>1250</f>
        <v>1250</v>
      </c>
      <c r="M34" s="9">
        <f>1250</f>
        <v>1250</v>
      </c>
      <c r="N34" s="9">
        <f t="shared" si="0"/>
        <v>15000</v>
      </c>
    </row>
    <row r="35" spans="1:14" x14ac:dyDescent="0.25">
      <c r="A35" s="3" t="s">
        <v>42</v>
      </c>
      <c r="B35" s="9">
        <f>2000</f>
        <v>2000</v>
      </c>
      <c r="C35" s="9">
        <f>6000</f>
        <v>6000</v>
      </c>
      <c r="D35" s="9">
        <f>5000</f>
        <v>5000</v>
      </c>
      <c r="E35" s="9">
        <f>7000</f>
        <v>7000</v>
      </c>
      <c r="F35" s="9">
        <f>5000</f>
        <v>5000</v>
      </c>
      <c r="G35" s="9">
        <f>5000</f>
        <v>5000</v>
      </c>
      <c r="H35" s="9">
        <f>5000</f>
        <v>5000</v>
      </c>
      <c r="I35" s="9">
        <f>5000</f>
        <v>5000</v>
      </c>
      <c r="J35" s="9">
        <f>5000</f>
        <v>5000</v>
      </c>
      <c r="K35" s="9">
        <f>7000</f>
        <v>7000</v>
      </c>
      <c r="L35" s="9">
        <f>5000</f>
        <v>5000</v>
      </c>
      <c r="M35" s="9">
        <f>15000</f>
        <v>15000</v>
      </c>
      <c r="N35" s="9">
        <f t="shared" si="0"/>
        <v>72000</v>
      </c>
    </row>
    <row r="36" spans="1:14" x14ac:dyDescent="0.25">
      <c r="A36" s="3" t="s">
        <v>43</v>
      </c>
      <c r="B36" s="9">
        <f t="shared" ref="B36:L36" si="12">41.67</f>
        <v>41.67</v>
      </c>
      <c r="C36" s="9">
        <f t="shared" si="12"/>
        <v>41.67</v>
      </c>
      <c r="D36" s="9">
        <f t="shared" si="12"/>
        <v>41.67</v>
      </c>
      <c r="E36" s="9">
        <f t="shared" si="12"/>
        <v>41.67</v>
      </c>
      <c r="F36" s="9">
        <f t="shared" si="12"/>
        <v>41.67</v>
      </c>
      <c r="G36" s="9">
        <f t="shared" si="12"/>
        <v>41.67</v>
      </c>
      <c r="H36" s="9">
        <f t="shared" si="12"/>
        <v>41.67</v>
      </c>
      <c r="I36" s="9">
        <f t="shared" si="12"/>
        <v>41.67</v>
      </c>
      <c r="J36" s="9">
        <f t="shared" si="12"/>
        <v>41.67</v>
      </c>
      <c r="K36" s="9">
        <f t="shared" si="12"/>
        <v>41.67</v>
      </c>
      <c r="L36" s="9">
        <f t="shared" si="12"/>
        <v>41.67</v>
      </c>
      <c r="M36" s="9">
        <f>41.63</f>
        <v>41.63</v>
      </c>
      <c r="N36" s="9">
        <f t="shared" si="0"/>
        <v>500.00000000000011</v>
      </c>
    </row>
    <row r="37" spans="1:14" x14ac:dyDescent="0.25">
      <c r="A37" s="3" t="s">
        <v>44</v>
      </c>
      <c r="B37" s="10">
        <f t="shared" ref="B37:M37" si="13">(((((((B29)+(B30))+(B31))+(B32))+(B33))+(B34))+(B35))+(B36)</f>
        <v>87541.67</v>
      </c>
      <c r="C37" s="10">
        <f t="shared" si="13"/>
        <v>123541.67</v>
      </c>
      <c r="D37" s="10">
        <f t="shared" si="13"/>
        <v>151041.67000000001</v>
      </c>
      <c r="E37" s="10">
        <f t="shared" si="13"/>
        <v>225041.67</v>
      </c>
      <c r="F37" s="10">
        <f t="shared" si="13"/>
        <v>92041.67</v>
      </c>
      <c r="G37" s="10">
        <f t="shared" si="13"/>
        <v>91041.67</v>
      </c>
      <c r="H37" s="10">
        <f t="shared" si="13"/>
        <v>116041.67</v>
      </c>
      <c r="I37" s="10">
        <f t="shared" si="13"/>
        <v>96541.67</v>
      </c>
      <c r="J37" s="10">
        <f t="shared" si="13"/>
        <v>143541.67000000001</v>
      </c>
      <c r="K37" s="10">
        <f t="shared" si="13"/>
        <v>308041.67</v>
      </c>
      <c r="L37" s="10">
        <f t="shared" si="13"/>
        <v>93041.67</v>
      </c>
      <c r="M37" s="10">
        <f t="shared" si="13"/>
        <v>288041.63</v>
      </c>
      <c r="N37" s="10">
        <f t="shared" si="0"/>
        <v>1815500</v>
      </c>
    </row>
    <row r="38" spans="1:14" x14ac:dyDescent="0.25">
      <c r="A38" s="3" t="s">
        <v>45</v>
      </c>
      <c r="B38" s="9">
        <f t="shared" ref="B38:M38" si="14">187.5</f>
        <v>187.5</v>
      </c>
      <c r="C38" s="9">
        <f t="shared" si="14"/>
        <v>187.5</v>
      </c>
      <c r="D38" s="9">
        <f t="shared" si="14"/>
        <v>187.5</v>
      </c>
      <c r="E38" s="9">
        <f t="shared" si="14"/>
        <v>187.5</v>
      </c>
      <c r="F38" s="9">
        <f t="shared" si="14"/>
        <v>187.5</v>
      </c>
      <c r="G38" s="9">
        <f t="shared" si="14"/>
        <v>187.5</v>
      </c>
      <c r="H38" s="9">
        <f t="shared" si="14"/>
        <v>187.5</v>
      </c>
      <c r="I38" s="9">
        <f t="shared" si="14"/>
        <v>187.5</v>
      </c>
      <c r="J38" s="9">
        <f t="shared" si="14"/>
        <v>187.5</v>
      </c>
      <c r="K38" s="9">
        <f t="shared" si="14"/>
        <v>187.5</v>
      </c>
      <c r="L38" s="9">
        <f t="shared" si="14"/>
        <v>187.5</v>
      </c>
      <c r="M38" s="9">
        <f t="shared" si="14"/>
        <v>187.5</v>
      </c>
      <c r="N38" s="9">
        <f t="shared" si="0"/>
        <v>2250</v>
      </c>
    </row>
    <row r="39" spans="1:14" x14ac:dyDescent="0.25">
      <c r="A39" s="3" t="s">
        <v>46</v>
      </c>
      <c r="B39" s="10">
        <f t="shared" ref="B39:M39" si="15">((((B26)+(B27))+(B28))+(B37))+(B38)</f>
        <v>97920.84</v>
      </c>
      <c r="C39" s="10">
        <f t="shared" si="15"/>
        <v>133920.84</v>
      </c>
      <c r="D39" s="10">
        <f t="shared" si="15"/>
        <v>161420.84000000003</v>
      </c>
      <c r="E39" s="10">
        <f t="shared" si="15"/>
        <v>235420.84000000003</v>
      </c>
      <c r="F39" s="10">
        <f t="shared" si="15"/>
        <v>102420.84</v>
      </c>
      <c r="G39" s="10">
        <f t="shared" si="15"/>
        <v>101420.84</v>
      </c>
      <c r="H39" s="10">
        <f t="shared" si="15"/>
        <v>126420.84</v>
      </c>
      <c r="I39" s="10">
        <f t="shared" si="15"/>
        <v>106920.84</v>
      </c>
      <c r="J39" s="10">
        <f t="shared" si="15"/>
        <v>153920.84000000003</v>
      </c>
      <c r="K39" s="10">
        <f t="shared" si="15"/>
        <v>308443.06</v>
      </c>
      <c r="L39" s="10">
        <f t="shared" si="15"/>
        <v>93443.06</v>
      </c>
      <c r="M39" s="10">
        <f t="shared" si="15"/>
        <v>288442.99</v>
      </c>
      <c r="N39" s="10">
        <f t="shared" ref="N39:N69" si="16">(((((((((((B39)+(C39))+(D39))+(E39))+(F39))+(G39))+(H39))+(I39))+(J39))+(K39))+(L39))+(M39)</f>
        <v>1910116.6700000002</v>
      </c>
    </row>
    <row r="40" spans="1:14" x14ac:dyDescent="0.25">
      <c r="A40" s="3" t="s">
        <v>47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9">
        <f t="shared" si="16"/>
        <v>0</v>
      </c>
    </row>
    <row r="41" spans="1:14" x14ac:dyDescent="0.25">
      <c r="A41" s="3" t="s">
        <v>48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9">
        <f t="shared" si="16"/>
        <v>0</v>
      </c>
    </row>
    <row r="42" spans="1:14" x14ac:dyDescent="0.25">
      <c r="A42" s="3" t="s">
        <v>49</v>
      </c>
      <c r="B42" s="9">
        <f>5601.56</f>
        <v>5601.56</v>
      </c>
      <c r="C42" s="9">
        <f>8402.34</f>
        <v>8402.34</v>
      </c>
      <c r="D42" s="9">
        <f>11203.12</f>
        <v>11203.12</v>
      </c>
      <c r="E42" s="9">
        <f>18205.07</f>
        <v>18205.07</v>
      </c>
      <c r="F42" s="9">
        <f>11203.12</f>
        <v>11203.12</v>
      </c>
      <c r="G42" s="9">
        <f>9802.73</f>
        <v>9802.73</v>
      </c>
      <c r="H42" s="9">
        <f>14003.9</f>
        <v>14003.9</v>
      </c>
      <c r="I42" s="9">
        <f>15404.29</f>
        <v>15404.29</v>
      </c>
      <c r="J42" s="9">
        <f>12603.51</f>
        <v>12603.51</v>
      </c>
      <c r="K42" s="9">
        <f>12603.51</f>
        <v>12603.51</v>
      </c>
      <c r="L42" s="9">
        <f>9802.73</f>
        <v>9802.73</v>
      </c>
      <c r="M42" s="9">
        <f>11203.12</f>
        <v>11203.12</v>
      </c>
      <c r="N42" s="9">
        <f t="shared" si="16"/>
        <v>140039</v>
      </c>
    </row>
    <row r="43" spans="1:14" x14ac:dyDescent="0.25">
      <c r="A43" s="3" t="s">
        <v>50</v>
      </c>
      <c r="B43" s="9">
        <f>0</f>
        <v>0</v>
      </c>
      <c r="C43" s="9">
        <f>1382.5</f>
        <v>1382.5</v>
      </c>
      <c r="D43" s="9">
        <f>0</f>
        <v>0</v>
      </c>
      <c r="E43" s="9">
        <f>0</f>
        <v>0</v>
      </c>
      <c r="F43" s="9">
        <f>1382.5</f>
        <v>1382.5</v>
      </c>
      <c r="G43" s="9">
        <f>0</f>
        <v>0</v>
      </c>
      <c r="H43" s="9">
        <f>0</f>
        <v>0</v>
      </c>
      <c r="I43" s="9">
        <f>1382.5</f>
        <v>1382.5</v>
      </c>
      <c r="J43" s="9">
        <f>0</f>
        <v>0</v>
      </c>
      <c r="K43" s="9">
        <f>0</f>
        <v>0</v>
      </c>
      <c r="L43" s="9">
        <f>1382.5</f>
        <v>1382.5</v>
      </c>
      <c r="M43" s="9">
        <f>0</f>
        <v>0</v>
      </c>
      <c r="N43" s="9">
        <f t="shared" si="16"/>
        <v>5530</v>
      </c>
    </row>
    <row r="44" spans="1:14" x14ac:dyDescent="0.25">
      <c r="A44" s="3" t="s">
        <v>51</v>
      </c>
      <c r="B44" s="9">
        <f>74076</f>
        <v>74076</v>
      </c>
      <c r="C44" s="9">
        <f>74076</f>
        <v>74076</v>
      </c>
      <c r="D44" s="9">
        <f>82306</f>
        <v>82306</v>
      </c>
      <c r="E44" s="9">
        <f>74076</f>
        <v>74076</v>
      </c>
      <c r="F44" s="9">
        <f>57614</f>
        <v>57614</v>
      </c>
      <c r="G44" s="9">
        <f>65845</f>
        <v>65845</v>
      </c>
      <c r="H44" s="9">
        <f>57614</f>
        <v>57614</v>
      </c>
      <c r="I44" s="9">
        <f>82306</f>
        <v>82306</v>
      </c>
      <c r="J44" s="9">
        <f>65845</f>
        <v>65845</v>
      </c>
      <c r="K44" s="9">
        <f>74076</f>
        <v>74076</v>
      </c>
      <c r="L44" s="9">
        <f>57615</f>
        <v>57615</v>
      </c>
      <c r="M44" s="9">
        <f>57615</f>
        <v>57615</v>
      </c>
      <c r="N44" s="9">
        <f t="shared" si="16"/>
        <v>823064</v>
      </c>
    </row>
    <row r="45" spans="1:14" x14ac:dyDescent="0.25">
      <c r="A45" s="3" t="s">
        <v>52</v>
      </c>
      <c r="B45" s="10">
        <f t="shared" ref="B45:M45" si="17">(((B41)+(B42))+(B43))+(B44)</f>
        <v>79677.56</v>
      </c>
      <c r="C45" s="10">
        <f t="shared" si="17"/>
        <v>83860.84</v>
      </c>
      <c r="D45" s="10">
        <f t="shared" si="17"/>
        <v>93509.119999999995</v>
      </c>
      <c r="E45" s="10">
        <f t="shared" si="17"/>
        <v>92281.07</v>
      </c>
      <c r="F45" s="10">
        <f t="shared" si="17"/>
        <v>70199.62</v>
      </c>
      <c r="G45" s="10">
        <f t="shared" si="17"/>
        <v>75647.73</v>
      </c>
      <c r="H45" s="10">
        <f t="shared" si="17"/>
        <v>71617.899999999994</v>
      </c>
      <c r="I45" s="10">
        <f t="shared" si="17"/>
        <v>99092.790000000008</v>
      </c>
      <c r="J45" s="10">
        <f t="shared" si="17"/>
        <v>78448.509999999995</v>
      </c>
      <c r="K45" s="10">
        <f t="shared" si="17"/>
        <v>86679.51</v>
      </c>
      <c r="L45" s="10">
        <f t="shared" si="17"/>
        <v>68800.23</v>
      </c>
      <c r="M45" s="10">
        <f t="shared" si="17"/>
        <v>68818.12</v>
      </c>
      <c r="N45" s="10">
        <f t="shared" si="16"/>
        <v>968633</v>
      </c>
    </row>
    <row r="46" spans="1:14" x14ac:dyDescent="0.25">
      <c r="A46" s="3" t="s">
        <v>53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9">
        <f t="shared" si="16"/>
        <v>0</v>
      </c>
    </row>
    <row r="47" spans="1:14" x14ac:dyDescent="0.25">
      <c r="A47" s="3" t="s">
        <v>54</v>
      </c>
      <c r="B47" s="9">
        <f>610</f>
        <v>610</v>
      </c>
      <c r="C47" s="9">
        <f>488</f>
        <v>488</v>
      </c>
      <c r="D47" s="9">
        <f>488</f>
        <v>488</v>
      </c>
      <c r="E47" s="9">
        <f>1463</f>
        <v>1463</v>
      </c>
      <c r="F47" s="9">
        <f>1097</f>
        <v>1097</v>
      </c>
      <c r="G47" s="9">
        <f>975</f>
        <v>975</v>
      </c>
      <c r="H47" s="9">
        <f>853</f>
        <v>853</v>
      </c>
      <c r="I47" s="9">
        <f>610</f>
        <v>610</v>
      </c>
      <c r="J47" s="9">
        <f>1707</f>
        <v>1707</v>
      </c>
      <c r="K47" s="9">
        <f>2072</f>
        <v>2072</v>
      </c>
      <c r="L47" s="9">
        <f>853</f>
        <v>853</v>
      </c>
      <c r="M47" s="9">
        <f>974</f>
        <v>974</v>
      </c>
      <c r="N47" s="9">
        <f t="shared" si="16"/>
        <v>12190</v>
      </c>
    </row>
    <row r="48" spans="1:14" x14ac:dyDescent="0.25">
      <c r="A48" s="3" t="s">
        <v>55</v>
      </c>
      <c r="B48" s="9">
        <f>0</f>
        <v>0</v>
      </c>
      <c r="C48" s="9">
        <f>0</f>
        <v>0</v>
      </c>
      <c r="D48" s="9">
        <f>0</f>
        <v>0</v>
      </c>
      <c r="E48" s="9">
        <f>0</f>
        <v>0</v>
      </c>
      <c r="F48" s="9">
        <f>0</f>
        <v>0</v>
      </c>
      <c r="G48" s="9">
        <f>0</f>
        <v>0</v>
      </c>
      <c r="H48" s="9">
        <f>0</f>
        <v>0</v>
      </c>
      <c r="I48" s="9">
        <f>170</f>
        <v>170</v>
      </c>
      <c r="J48" s="9">
        <f>0</f>
        <v>0</v>
      </c>
      <c r="K48" s="9">
        <f>0</f>
        <v>0</v>
      </c>
      <c r="L48" s="9">
        <f>170</f>
        <v>170</v>
      </c>
      <c r="M48" s="9">
        <f>0</f>
        <v>0</v>
      </c>
      <c r="N48" s="9">
        <f t="shared" si="16"/>
        <v>340</v>
      </c>
    </row>
    <row r="49" spans="1:14" x14ac:dyDescent="0.25">
      <c r="A49" s="3" t="s">
        <v>56</v>
      </c>
      <c r="B49" s="9">
        <f>16461</f>
        <v>16461</v>
      </c>
      <c r="C49" s="9">
        <f>16461</f>
        <v>16461</v>
      </c>
      <c r="D49" s="9">
        <f>21165</f>
        <v>21165</v>
      </c>
      <c r="E49" s="9">
        <f>23516</f>
        <v>23516</v>
      </c>
      <c r="F49" s="9">
        <f>21164</f>
        <v>21164</v>
      </c>
      <c r="G49" s="9">
        <f>16461</f>
        <v>16461</v>
      </c>
      <c r="H49" s="9">
        <f>21164</f>
        <v>21164</v>
      </c>
      <c r="I49" s="9">
        <f>28219</f>
        <v>28219</v>
      </c>
      <c r="J49" s="9">
        <f>16461</f>
        <v>16461</v>
      </c>
      <c r="K49" s="9">
        <f>18814</f>
        <v>18814</v>
      </c>
      <c r="L49" s="9">
        <f>16461</f>
        <v>16461</v>
      </c>
      <c r="M49" s="9">
        <f>18814</f>
        <v>18814</v>
      </c>
      <c r="N49" s="9">
        <f t="shared" si="16"/>
        <v>235161</v>
      </c>
    </row>
    <row r="50" spans="1:14" x14ac:dyDescent="0.25">
      <c r="A50" s="3" t="s">
        <v>57</v>
      </c>
      <c r="B50" s="10">
        <f t="shared" ref="B50:M50" si="18">(((B46)+(B47))+(B48))+(B49)</f>
        <v>17071</v>
      </c>
      <c r="C50" s="10">
        <f t="shared" si="18"/>
        <v>16949</v>
      </c>
      <c r="D50" s="10">
        <f t="shared" si="18"/>
        <v>21653</v>
      </c>
      <c r="E50" s="10">
        <f t="shared" si="18"/>
        <v>24979</v>
      </c>
      <c r="F50" s="10">
        <f t="shared" si="18"/>
        <v>22261</v>
      </c>
      <c r="G50" s="10">
        <f t="shared" si="18"/>
        <v>17436</v>
      </c>
      <c r="H50" s="10">
        <f t="shared" si="18"/>
        <v>22017</v>
      </c>
      <c r="I50" s="10">
        <f t="shared" si="18"/>
        <v>28999</v>
      </c>
      <c r="J50" s="10">
        <f t="shared" si="18"/>
        <v>18168</v>
      </c>
      <c r="K50" s="10">
        <f t="shared" si="18"/>
        <v>20886</v>
      </c>
      <c r="L50" s="10">
        <f t="shared" si="18"/>
        <v>17484</v>
      </c>
      <c r="M50" s="10">
        <f t="shared" si="18"/>
        <v>19788</v>
      </c>
      <c r="N50" s="10">
        <f t="shared" si="16"/>
        <v>247691</v>
      </c>
    </row>
    <row r="51" spans="1:14" x14ac:dyDescent="0.25">
      <c r="A51" s="3" t="s">
        <v>58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9">
        <f t="shared" si="16"/>
        <v>0</v>
      </c>
    </row>
    <row r="52" spans="1:14" x14ac:dyDescent="0.25">
      <c r="A52" s="3" t="s">
        <v>59</v>
      </c>
      <c r="B52" s="9">
        <f>2486</f>
        <v>2486</v>
      </c>
      <c r="C52" s="9">
        <f>1105</f>
        <v>1105</v>
      </c>
      <c r="D52" s="9">
        <f>1657</f>
        <v>1657</v>
      </c>
      <c r="E52" s="9">
        <f>2486</f>
        <v>2486</v>
      </c>
      <c r="F52" s="9">
        <f>1657</f>
        <v>1657</v>
      </c>
      <c r="G52" s="9">
        <f>2210</f>
        <v>2210</v>
      </c>
      <c r="H52" s="9">
        <f>3315</f>
        <v>3315</v>
      </c>
      <c r="I52" s="9">
        <f>2210</f>
        <v>2210</v>
      </c>
      <c r="J52" s="9">
        <f>2486</f>
        <v>2486</v>
      </c>
      <c r="K52" s="9">
        <f>2486</f>
        <v>2486</v>
      </c>
      <c r="L52" s="9">
        <f>2210</f>
        <v>2210</v>
      </c>
      <c r="M52" s="9">
        <f>3313</f>
        <v>3313</v>
      </c>
      <c r="N52" s="9">
        <f t="shared" si="16"/>
        <v>27621</v>
      </c>
    </row>
    <row r="53" spans="1:14" x14ac:dyDescent="0.25">
      <c r="A53" s="3" t="s">
        <v>60</v>
      </c>
      <c r="B53" s="9">
        <f>23516</f>
        <v>23516</v>
      </c>
      <c r="C53" s="9">
        <f>26456</f>
        <v>26456</v>
      </c>
      <c r="D53" s="9">
        <f>29395</f>
        <v>29395</v>
      </c>
      <c r="E53" s="9">
        <f>23516</f>
        <v>23516</v>
      </c>
      <c r="F53" s="9">
        <f>26456</f>
        <v>26456</v>
      </c>
      <c r="G53" s="9">
        <f>20577</f>
        <v>20577</v>
      </c>
      <c r="H53" s="9">
        <f>35274</f>
        <v>35274</v>
      </c>
      <c r="I53" s="9">
        <f>23516</f>
        <v>23516</v>
      </c>
      <c r="J53" s="9">
        <f>17637</f>
        <v>17637</v>
      </c>
      <c r="K53" s="9">
        <f>23516</f>
        <v>23516</v>
      </c>
      <c r="L53" s="9">
        <f>20577</f>
        <v>20577</v>
      </c>
      <c r="M53" s="9">
        <f>23516</f>
        <v>23516</v>
      </c>
      <c r="N53" s="9">
        <f t="shared" si="16"/>
        <v>293952</v>
      </c>
    </row>
    <row r="54" spans="1:14" x14ac:dyDescent="0.25">
      <c r="A54" s="3" t="s">
        <v>61</v>
      </c>
      <c r="B54" s="10">
        <f t="shared" ref="B54:M54" si="19">((B51)+(B52))+(B53)</f>
        <v>26002</v>
      </c>
      <c r="C54" s="10">
        <f t="shared" si="19"/>
        <v>27561</v>
      </c>
      <c r="D54" s="10">
        <f t="shared" si="19"/>
        <v>31052</v>
      </c>
      <c r="E54" s="10">
        <f t="shared" si="19"/>
        <v>26002</v>
      </c>
      <c r="F54" s="10">
        <f t="shared" si="19"/>
        <v>28113</v>
      </c>
      <c r="G54" s="10">
        <f t="shared" si="19"/>
        <v>22787</v>
      </c>
      <c r="H54" s="10">
        <f t="shared" si="19"/>
        <v>38589</v>
      </c>
      <c r="I54" s="10">
        <f t="shared" si="19"/>
        <v>25726</v>
      </c>
      <c r="J54" s="10">
        <f t="shared" si="19"/>
        <v>20123</v>
      </c>
      <c r="K54" s="10">
        <f t="shared" si="19"/>
        <v>26002</v>
      </c>
      <c r="L54" s="10">
        <f t="shared" si="19"/>
        <v>22787</v>
      </c>
      <c r="M54" s="10">
        <f t="shared" si="19"/>
        <v>26829</v>
      </c>
      <c r="N54" s="10">
        <f t="shared" si="16"/>
        <v>321573</v>
      </c>
    </row>
    <row r="55" spans="1:14" x14ac:dyDescent="0.25">
      <c r="A55" s="3" t="s">
        <v>62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9">
        <f t="shared" si="16"/>
        <v>0</v>
      </c>
    </row>
    <row r="56" spans="1:14" x14ac:dyDescent="0.25">
      <c r="A56" s="3" t="s">
        <v>63</v>
      </c>
      <c r="B56" s="9">
        <f>5000</f>
        <v>5000</v>
      </c>
      <c r="C56" s="9">
        <f>5000</f>
        <v>5000</v>
      </c>
      <c r="D56" s="9">
        <f>5000</f>
        <v>5000</v>
      </c>
      <c r="E56" s="9">
        <f>5000</f>
        <v>5000</v>
      </c>
      <c r="F56" s="9">
        <f>5000</f>
        <v>5000</v>
      </c>
      <c r="G56" s="9">
        <f>5000</f>
        <v>5000</v>
      </c>
      <c r="H56" s="9">
        <f>5000</f>
        <v>5000</v>
      </c>
      <c r="I56" s="9">
        <f>5000</f>
        <v>5000</v>
      </c>
      <c r="J56" s="9">
        <f>5000</f>
        <v>5000</v>
      </c>
      <c r="K56" s="9">
        <f>5000</f>
        <v>5000</v>
      </c>
      <c r="L56" s="9">
        <f>5000</f>
        <v>5000</v>
      </c>
      <c r="M56" s="9">
        <f>5000</f>
        <v>5000</v>
      </c>
      <c r="N56" s="9">
        <f t="shared" si="16"/>
        <v>60000</v>
      </c>
    </row>
    <row r="57" spans="1:14" x14ac:dyDescent="0.25">
      <c r="A57" s="3" t="s">
        <v>64</v>
      </c>
      <c r="B57" s="10">
        <f t="shared" ref="B57:M57" si="20">(B55)+(B56)</f>
        <v>5000</v>
      </c>
      <c r="C57" s="10">
        <f t="shared" si="20"/>
        <v>5000</v>
      </c>
      <c r="D57" s="10">
        <f t="shared" si="20"/>
        <v>5000</v>
      </c>
      <c r="E57" s="10">
        <f t="shared" si="20"/>
        <v>5000</v>
      </c>
      <c r="F57" s="10">
        <f t="shared" si="20"/>
        <v>5000</v>
      </c>
      <c r="G57" s="10">
        <f t="shared" si="20"/>
        <v>5000</v>
      </c>
      <c r="H57" s="10">
        <f t="shared" si="20"/>
        <v>5000</v>
      </c>
      <c r="I57" s="10">
        <f t="shared" si="20"/>
        <v>5000</v>
      </c>
      <c r="J57" s="10">
        <f t="shared" si="20"/>
        <v>5000</v>
      </c>
      <c r="K57" s="10">
        <f t="shared" si="20"/>
        <v>5000</v>
      </c>
      <c r="L57" s="10">
        <f t="shared" si="20"/>
        <v>5000</v>
      </c>
      <c r="M57" s="10">
        <f t="shared" si="20"/>
        <v>5000</v>
      </c>
      <c r="N57" s="10">
        <f t="shared" si="16"/>
        <v>60000</v>
      </c>
    </row>
    <row r="58" spans="1:14" x14ac:dyDescent="0.25">
      <c r="A58" s="3" t="s">
        <v>65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9">
        <f t="shared" si="16"/>
        <v>0</v>
      </c>
    </row>
    <row r="59" spans="1:14" x14ac:dyDescent="0.25">
      <c r="A59" s="3" t="s">
        <v>66</v>
      </c>
      <c r="B59" s="9">
        <f t="shared" ref="B59:L59" si="21">3208.33</f>
        <v>3208.33</v>
      </c>
      <c r="C59" s="9">
        <f t="shared" si="21"/>
        <v>3208.33</v>
      </c>
      <c r="D59" s="9">
        <f t="shared" si="21"/>
        <v>3208.33</v>
      </c>
      <c r="E59" s="9">
        <f t="shared" si="21"/>
        <v>3208.33</v>
      </c>
      <c r="F59" s="9">
        <f t="shared" si="21"/>
        <v>3208.33</v>
      </c>
      <c r="G59" s="9">
        <f t="shared" si="21"/>
        <v>3208.33</v>
      </c>
      <c r="H59" s="9">
        <f t="shared" si="21"/>
        <v>3208.33</v>
      </c>
      <c r="I59" s="9">
        <f t="shared" si="21"/>
        <v>3208.33</v>
      </c>
      <c r="J59" s="9">
        <f t="shared" si="21"/>
        <v>3208.33</v>
      </c>
      <c r="K59" s="9">
        <f t="shared" si="21"/>
        <v>3208.33</v>
      </c>
      <c r="L59" s="9">
        <f t="shared" si="21"/>
        <v>3208.33</v>
      </c>
      <c r="M59" s="9">
        <f>3208.37</f>
        <v>3208.37</v>
      </c>
      <c r="N59" s="9">
        <f t="shared" si="16"/>
        <v>38500.000000000007</v>
      </c>
    </row>
    <row r="60" spans="1:14" x14ac:dyDescent="0.25">
      <c r="A60" s="3" t="s">
        <v>67</v>
      </c>
      <c r="B60" s="9">
        <f>19041.5</f>
        <v>19041.5</v>
      </c>
      <c r="C60" s="9">
        <f>22849.8</f>
        <v>22849.8</v>
      </c>
      <c r="D60" s="9">
        <f>34274.7</f>
        <v>34274.699999999997</v>
      </c>
      <c r="E60" s="9">
        <f>34274.7</f>
        <v>34274.699999999997</v>
      </c>
      <c r="F60" s="9">
        <f>34274.7</f>
        <v>34274.699999999997</v>
      </c>
      <c r="G60" s="9">
        <f>22849.8</f>
        <v>22849.8</v>
      </c>
      <c r="H60" s="9">
        <f>38083</f>
        <v>38083</v>
      </c>
      <c r="I60" s="9">
        <f>30466.4</f>
        <v>30466.400000000001</v>
      </c>
      <c r="J60" s="9">
        <f>38083</f>
        <v>38083</v>
      </c>
      <c r="K60" s="9">
        <f>38083</f>
        <v>38083</v>
      </c>
      <c r="L60" s="9">
        <f>38083</f>
        <v>38083</v>
      </c>
      <c r="M60" s="9">
        <f>30466.4</f>
        <v>30466.400000000001</v>
      </c>
      <c r="N60" s="9">
        <f t="shared" si="16"/>
        <v>380830</v>
      </c>
    </row>
    <row r="61" spans="1:14" x14ac:dyDescent="0.25">
      <c r="A61" s="3" t="s">
        <v>68</v>
      </c>
      <c r="B61" s="9">
        <f>1285.8</f>
        <v>1285.8</v>
      </c>
      <c r="C61" s="9">
        <f>1542.96</f>
        <v>1542.96</v>
      </c>
      <c r="D61" s="9">
        <f>2314.44</f>
        <v>2314.44</v>
      </c>
      <c r="E61" s="9">
        <f>2314.44</f>
        <v>2314.44</v>
      </c>
      <c r="F61" s="9">
        <f>2314.44</f>
        <v>2314.44</v>
      </c>
      <c r="G61" s="9">
        <f>1542.96</f>
        <v>1542.96</v>
      </c>
      <c r="H61" s="9">
        <f>2571.6</f>
        <v>2571.6</v>
      </c>
      <c r="I61" s="9">
        <f>2571.6</f>
        <v>2571.6</v>
      </c>
      <c r="J61" s="9">
        <f>2057.28</f>
        <v>2057.2800000000002</v>
      </c>
      <c r="K61" s="9">
        <f>2571.6</f>
        <v>2571.6</v>
      </c>
      <c r="L61" s="9">
        <f>2571.6</f>
        <v>2571.6</v>
      </c>
      <c r="M61" s="9">
        <f>2057.28</f>
        <v>2057.2800000000002</v>
      </c>
      <c r="N61" s="9">
        <f t="shared" si="16"/>
        <v>25715.999999999996</v>
      </c>
    </row>
    <row r="62" spans="1:14" x14ac:dyDescent="0.25">
      <c r="A62" s="3" t="s">
        <v>69</v>
      </c>
      <c r="B62" s="9">
        <f>0</f>
        <v>0</v>
      </c>
      <c r="C62" s="9">
        <f>0</f>
        <v>0</v>
      </c>
      <c r="D62" s="9">
        <f>0</f>
        <v>0</v>
      </c>
      <c r="E62" s="9">
        <f>0</f>
        <v>0</v>
      </c>
      <c r="F62" s="9">
        <f>0</f>
        <v>0</v>
      </c>
      <c r="G62" s="9">
        <f>0</f>
        <v>0</v>
      </c>
      <c r="H62" s="9">
        <f>1991.33</f>
        <v>1991.33</v>
      </c>
      <c r="I62" s="9">
        <f>1991.33</f>
        <v>1991.33</v>
      </c>
      <c r="J62" s="9">
        <f>1991.33</f>
        <v>1991.33</v>
      </c>
      <c r="K62" s="9">
        <f>1991.33</f>
        <v>1991.33</v>
      </c>
      <c r="L62" s="9">
        <f>1991.33</f>
        <v>1991.33</v>
      </c>
      <c r="M62" s="9">
        <f>1991.35</f>
        <v>1991.35</v>
      </c>
      <c r="N62" s="9">
        <f t="shared" si="16"/>
        <v>11948</v>
      </c>
    </row>
    <row r="63" spans="1:14" x14ac:dyDescent="0.25">
      <c r="A63" s="3" t="s">
        <v>70</v>
      </c>
      <c r="B63" s="9">
        <f t="shared" ref="B63:L63" si="22">3083.33</f>
        <v>3083.33</v>
      </c>
      <c r="C63" s="9">
        <f t="shared" si="22"/>
        <v>3083.33</v>
      </c>
      <c r="D63" s="9">
        <f t="shared" si="22"/>
        <v>3083.33</v>
      </c>
      <c r="E63" s="9">
        <f t="shared" si="22"/>
        <v>3083.33</v>
      </c>
      <c r="F63" s="9">
        <f t="shared" si="22"/>
        <v>3083.33</v>
      </c>
      <c r="G63" s="9">
        <f t="shared" si="22"/>
        <v>3083.33</v>
      </c>
      <c r="H63" s="9">
        <f t="shared" si="22"/>
        <v>3083.33</v>
      </c>
      <c r="I63" s="9">
        <f t="shared" si="22"/>
        <v>3083.33</v>
      </c>
      <c r="J63" s="9">
        <f t="shared" si="22"/>
        <v>3083.33</v>
      </c>
      <c r="K63" s="9">
        <f t="shared" si="22"/>
        <v>3083.33</v>
      </c>
      <c r="L63" s="9">
        <f t="shared" si="22"/>
        <v>3083.33</v>
      </c>
      <c r="M63" s="9">
        <f>3083.37</f>
        <v>3083.37</v>
      </c>
      <c r="N63" s="9">
        <f t="shared" si="16"/>
        <v>37000.000000000007</v>
      </c>
    </row>
    <row r="64" spans="1:14" x14ac:dyDescent="0.25">
      <c r="A64" s="3" t="s">
        <v>71</v>
      </c>
      <c r="B64" s="9">
        <f>12500</f>
        <v>12500</v>
      </c>
      <c r="C64" s="9">
        <f>12500</f>
        <v>12500</v>
      </c>
      <c r="D64" s="9">
        <f>12500</f>
        <v>12500</v>
      </c>
      <c r="E64" s="9">
        <f>12500</f>
        <v>12500</v>
      </c>
      <c r="F64" s="9">
        <f>12500</f>
        <v>12500</v>
      </c>
      <c r="G64" s="9">
        <f>12500</f>
        <v>12500</v>
      </c>
      <c r="H64" s="9">
        <f>12500</f>
        <v>12500</v>
      </c>
      <c r="I64" s="9">
        <f>12500</f>
        <v>12500</v>
      </c>
      <c r="J64" s="9">
        <f>12500</f>
        <v>12500</v>
      </c>
      <c r="K64" s="9">
        <f>12500</f>
        <v>12500</v>
      </c>
      <c r="L64" s="9">
        <f>12500</f>
        <v>12500</v>
      </c>
      <c r="M64" s="9">
        <f>12500</f>
        <v>12500</v>
      </c>
      <c r="N64" s="9">
        <f t="shared" si="16"/>
        <v>150000</v>
      </c>
    </row>
    <row r="65" spans="1:14" x14ac:dyDescent="0.25">
      <c r="A65" s="3" t="s">
        <v>72</v>
      </c>
      <c r="B65" s="9">
        <f>407417</f>
        <v>407417</v>
      </c>
      <c r="C65" s="9">
        <f>362148</f>
        <v>362148</v>
      </c>
      <c r="D65" s="9">
        <f>362148</f>
        <v>362148</v>
      </c>
      <c r="E65" s="9">
        <f>362148</f>
        <v>362148</v>
      </c>
      <c r="F65" s="9">
        <f>407417</f>
        <v>407417</v>
      </c>
      <c r="G65" s="9">
        <f>362148</f>
        <v>362148</v>
      </c>
      <c r="H65" s="9">
        <f>316880</f>
        <v>316880</v>
      </c>
      <c r="I65" s="9">
        <f>362148</f>
        <v>362148</v>
      </c>
      <c r="J65" s="9">
        <f>362148</f>
        <v>362148</v>
      </c>
      <c r="K65" s="9">
        <f>452685</f>
        <v>452685</v>
      </c>
      <c r="L65" s="9">
        <f>452685</f>
        <v>452685</v>
      </c>
      <c r="M65" s="9">
        <f>316879</f>
        <v>316879</v>
      </c>
      <c r="N65" s="9">
        <f t="shared" si="16"/>
        <v>4526851</v>
      </c>
    </row>
    <row r="66" spans="1:14" x14ac:dyDescent="0.25">
      <c r="A66" s="3" t="s">
        <v>73</v>
      </c>
      <c r="B66" s="10">
        <f t="shared" ref="B66:M66" si="23">(((((((B58)+(B59))+(B60))+(B61))+(B62))+(B63))+(B64))+(B65)</f>
        <v>446535.96</v>
      </c>
      <c r="C66" s="10">
        <f t="shared" si="23"/>
        <v>405332.42</v>
      </c>
      <c r="D66" s="10">
        <f t="shared" si="23"/>
        <v>417528.8</v>
      </c>
      <c r="E66" s="10">
        <f t="shared" si="23"/>
        <v>417528.8</v>
      </c>
      <c r="F66" s="10">
        <f t="shared" si="23"/>
        <v>462797.8</v>
      </c>
      <c r="G66" s="10">
        <f t="shared" si="23"/>
        <v>405332.42</v>
      </c>
      <c r="H66" s="10">
        <f t="shared" si="23"/>
        <v>378317.59</v>
      </c>
      <c r="I66" s="10">
        <f t="shared" si="23"/>
        <v>415968.99</v>
      </c>
      <c r="J66" s="10">
        <f t="shared" si="23"/>
        <v>423071.27</v>
      </c>
      <c r="K66" s="10">
        <f t="shared" si="23"/>
        <v>514122.59</v>
      </c>
      <c r="L66" s="10">
        <f t="shared" si="23"/>
        <v>514122.59</v>
      </c>
      <c r="M66" s="10">
        <f t="shared" si="23"/>
        <v>370185.77</v>
      </c>
      <c r="N66" s="10">
        <f t="shared" si="16"/>
        <v>5170845</v>
      </c>
    </row>
    <row r="67" spans="1:14" x14ac:dyDescent="0.25">
      <c r="A67" s="3" t="s">
        <v>74</v>
      </c>
      <c r="B67" s="10">
        <f t="shared" ref="B67:M67" si="24">(((((B40)+(B45))+(B50))+(B54))+(B57))+(B66)</f>
        <v>574286.52</v>
      </c>
      <c r="C67" s="10">
        <f t="shared" si="24"/>
        <v>538703.26</v>
      </c>
      <c r="D67" s="10">
        <f t="shared" si="24"/>
        <v>568742.91999999993</v>
      </c>
      <c r="E67" s="10">
        <f t="shared" si="24"/>
        <v>565790.87</v>
      </c>
      <c r="F67" s="10">
        <f t="shared" si="24"/>
        <v>588371.41999999993</v>
      </c>
      <c r="G67" s="10">
        <f t="shared" si="24"/>
        <v>526203.15</v>
      </c>
      <c r="H67" s="10">
        <f t="shared" si="24"/>
        <v>515541.49</v>
      </c>
      <c r="I67" s="10">
        <f t="shared" si="24"/>
        <v>574786.78</v>
      </c>
      <c r="J67" s="10">
        <f t="shared" si="24"/>
        <v>544810.78</v>
      </c>
      <c r="K67" s="10">
        <f t="shared" si="24"/>
        <v>652690.10000000009</v>
      </c>
      <c r="L67" s="10">
        <f t="shared" si="24"/>
        <v>628193.82000000007</v>
      </c>
      <c r="M67" s="10">
        <f t="shared" si="24"/>
        <v>490620.89</v>
      </c>
      <c r="N67" s="10">
        <f t="shared" si="16"/>
        <v>6768742.0000000009</v>
      </c>
    </row>
    <row r="68" spans="1:14" x14ac:dyDescent="0.25">
      <c r="A68" s="3" t="s">
        <v>75</v>
      </c>
      <c r="B68" s="10">
        <f t="shared" ref="B68:M68" si="25">((((B7)+(B15))+(B25))+(B39))+(B67)</f>
        <v>751971.86</v>
      </c>
      <c r="C68" s="10">
        <f t="shared" si="25"/>
        <v>960608.6</v>
      </c>
      <c r="D68" s="10">
        <f t="shared" si="25"/>
        <v>811928.26</v>
      </c>
      <c r="E68" s="10">
        <f t="shared" si="25"/>
        <v>885266.21</v>
      </c>
      <c r="F68" s="10">
        <f t="shared" si="25"/>
        <v>953556.75999999989</v>
      </c>
      <c r="G68" s="10">
        <f t="shared" si="25"/>
        <v>711478.49</v>
      </c>
      <c r="H68" s="10">
        <f t="shared" si="25"/>
        <v>728726.83</v>
      </c>
      <c r="I68" s="10">
        <f t="shared" si="25"/>
        <v>871822.12</v>
      </c>
      <c r="J68" s="10">
        <f t="shared" si="25"/>
        <v>781786.12000000011</v>
      </c>
      <c r="K68" s="10">
        <f t="shared" si="25"/>
        <v>1045897.6600000001</v>
      </c>
      <c r="L68" s="10">
        <f t="shared" si="25"/>
        <v>951107.57000000007</v>
      </c>
      <c r="M68" s="10">
        <f t="shared" si="25"/>
        <v>863828.38</v>
      </c>
      <c r="N68" s="10">
        <f t="shared" si="16"/>
        <v>10317978.860000001</v>
      </c>
    </row>
    <row r="69" spans="1:14" x14ac:dyDescent="0.25">
      <c r="A69" s="3" t="s">
        <v>76</v>
      </c>
      <c r="B69" s="10">
        <f t="shared" ref="B69:M69" si="26">(B68)-(0)</f>
        <v>751971.86</v>
      </c>
      <c r="C69" s="10">
        <f t="shared" si="26"/>
        <v>960608.6</v>
      </c>
      <c r="D69" s="10">
        <f t="shared" si="26"/>
        <v>811928.26</v>
      </c>
      <c r="E69" s="10">
        <f t="shared" si="26"/>
        <v>885266.21</v>
      </c>
      <c r="F69" s="10">
        <f t="shared" si="26"/>
        <v>953556.75999999989</v>
      </c>
      <c r="G69" s="10">
        <f t="shared" si="26"/>
        <v>711478.49</v>
      </c>
      <c r="H69" s="10">
        <f t="shared" si="26"/>
        <v>728726.83</v>
      </c>
      <c r="I69" s="10">
        <f t="shared" si="26"/>
        <v>871822.12</v>
      </c>
      <c r="J69" s="10">
        <f t="shared" si="26"/>
        <v>781786.12000000011</v>
      </c>
      <c r="K69" s="10">
        <f t="shared" si="26"/>
        <v>1045897.6600000001</v>
      </c>
      <c r="L69" s="10">
        <f t="shared" si="26"/>
        <v>951107.57000000007</v>
      </c>
      <c r="M69" s="10">
        <f t="shared" si="26"/>
        <v>863828.38</v>
      </c>
      <c r="N69" s="10">
        <f t="shared" si="16"/>
        <v>10317978.860000001</v>
      </c>
    </row>
    <row r="70" spans="1:14" x14ac:dyDescent="0.25">
      <c r="A70" s="3" t="s">
        <v>77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x14ac:dyDescent="0.25">
      <c r="A71" s="3" t="s">
        <v>78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9">
        <f t="shared" ref="N71:N134" si="27">(((((((((((B71)+(C71))+(D71))+(E71))+(F71))+(G71))+(H71))+(I71))+(J71))+(K71))+(L71))+(M71)</f>
        <v>0</v>
      </c>
    </row>
    <row r="72" spans="1:14" x14ac:dyDescent="0.25">
      <c r="A72" s="3" t="s">
        <v>79</v>
      </c>
      <c r="B72" s="9">
        <f t="shared" ref="B72:M72" si="28">2151.81</f>
        <v>2151.81</v>
      </c>
      <c r="C72" s="9">
        <f t="shared" si="28"/>
        <v>2151.81</v>
      </c>
      <c r="D72" s="9">
        <f t="shared" si="28"/>
        <v>2151.81</v>
      </c>
      <c r="E72" s="9">
        <f t="shared" si="28"/>
        <v>2151.81</v>
      </c>
      <c r="F72" s="9">
        <f t="shared" si="28"/>
        <v>2151.81</v>
      </c>
      <c r="G72" s="9">
        <f t="shared" si="28"/>
        <v>2151.81</v>
      </c>
      <c r="H72" s="9">
        <f t="shared" si="28"/>
        <v>2151.81</v>
      </c>
      <c r="I72" s="9">
        <f t="shared" si="28"/>
        <v>2151.81</v>
      </c>
      <c r="J72" s="9">
        <f t="shared" si="28"/>
        <v>2151.81</v>
      </c>
      <c r="K72" s="9">
        <f t="shared" si="28"/>
        <v>2151.81</v>
      </c>
      <c r="L72" s="9">
        <f t="shared" si="28"/>
        <v>2151.81</v>
      </c>
      <c r="M72" s="9">
        <f t="shared" si="28"/>
        <v>2151.81</v>
      </c>
      <c r="N72" s="9">
        <f t="shared" si="27"/>
        <v>25821.720000000005</v>
      </c>
    </row>
    <row r="73" spans="1:14" x14ac:dyDescent="0.25">
      <c r="A73" s="3" t="s">
        <v>80</v>
      </c>
      <c r="B73" s="9">
        <f>1655.81</f>
        <v>1655.81</v>
      </c>
      <c r="C73" s="9">
        <f>1190.81</f>
        <v>1190.81</v>
      </c>
      <c r="D73" s="9">
        <f>1006.4</f>
        <v>1006.4</v>
      </c>
      <c r="E73" s="9">
        <f>1436.11</f>
        <v>1436.11</v>
      </c>
      <c r="F73" s="9">
        <f>1017.04</f>
        <v>1017.04</v>
      </c>
      <c r="G73" s="9">
        <f>1963.17</f>
        <v>1963.17</v>
      </c>
      <c r="H73" s="9">
        <f>1099.06</f>
        <v>1099.06</v>
      </c>
      <c r="I73" s="9">
        <f>1006.93</f>
        <v>1006.93</v>
      </c>
      <c r="J73" s="9">
        <f>1291.59</f>
        <v>1291.5899999999999</v>
      </c>
      <c r="K73" s="9">
        <f>1276.29</f>
        <v>1276.29</v>
      </c>
      <c r="L73" s="9">
        <f>917.45</f>
        <v>917.45</v>
      </c>
      <c r="M73" s="9">
        <f>911.27</f>
        <v>911.27</v>
      </c>
      <c r="N73" s="9">
        <f t="shared" si="27"/>
        <v>14771.93</v>
      </c>
    </row>
    <row r="74" spans="1:14" x14ac:dyDescent="0.25">
      <c r="A74" s="3" t="s">
        <v>81</v>
      </c>
      <c r="B74" s="9">
        <f>0</f>
        <v>0</v>
      </c>
      <c r="C74" s="9">
        <f>0</f>
        <v>0</v>
      </c>
      <c r="D74" s="9">
        <f>0</f>
        <v>0</v>
      </c>
      <c r="E74" s="9">
        <f>1000</f>
        <v>1000</v>
      </c>
      <c r="F74" s="9">
        <f>2000</f>
        <v>2000</v>
      </c>
      <c r="G74" s="9">
        <f>0</f>
        <v>0</v>
      </c>
      <c r="H74" s="9">
        <f>0</f>
        <v>0</v>
      </c>
      <c r="I74" s="9">
        <f>0</f>
        <v>0</v>
      </c>
      <c r="J74" s="9">
        <f>0</f>
        <v>0</v>
      </c>
      <c r="K74" s="9">
        <f>0</f>
        <v>0</v>
      </c>
      <c r="L74" s="9">
        <f>0</f>
        <v>0</v>
      </c>
      <c r="M74" s="9">
        <f>0</f>
        <v>0</v>
      </c>
      <c r="N74" s="9">
        <f t="shared" si="27"/>
        <v>3000</v>
      </c>
    </row>
    <row r="75" spans="1:14" x14ac:dyDescent="0.25">
      <c r="A75" s="3" t="s">
        <v>82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9">
        <f t="shared" si="27"/>
        <v>0</v>
      </c>
    </row>
    <row r="76" spans="1:14" x14ac:dyDescent="0.25">
      <c r="A76" s="3" t="s">
        <v>83</v>
      </c>
      <c r="B76" s="9">
        <f>31070.05</f>
        <v>31070.05</v>
      </c>
      <c r="C76" s="9">
        <f t="shared" ref="C76:M76" si="29">31070.03</f>
        <v>31070.03</v>
      </c>
      <c r="D76" s="9">
        <f t="shared" si="29"/>
        <v>31070.03</v>
      </c>
      <c r="E76" s="9">
        <f t="shared" si="29"/>
        <v>31070.03</v>
      </c>
      <c r="F76" s="9">
        <f t="shared" si="29"/>
        <v>31070.03</v>
      </c>
      <c r="G76" s="9">
        <f t="shared" si="29"/>
        <v>31070.03</v>
      </c>
      <c r="H76" s="9">
        <f t="shared" si="29"/>
        <v>31070.03</v>
      </c>
      <c r="I76" s="9">
        <f t="shared" si="29"/>
        <v>31070.03</v>
      </c>
      <c r="J76" s="9">
        <f t="shared" si="29"/>
        <v>31070.03</v>
      </c>
      <c r="K76" s="9">
        <f t="shared" si="29"/>
        <v>31070.03</v>
      </c>
      <c r="L76" s="9">
        <f t="shared" si="29"/>
        <v>31070.03</v>
      </c>
      <c r="M76" s="9">
        <f t="shared" si="29"/>
        <v>31070.03</v>
      </c>
      <c r="N76" s="9">
        <f t="shared" si="27"/>
        <v>372840.38</v>
      </c>
    </row>
    <row r="77" spans="1:14" x14ac:dyDescent="0.25">
      <c r="A77" s="3" t="s">
        <v>84</v>
      </c>
      <c r="B77" s="9">
        <f>2730</f>
        <v>2730</v>
      </c>
      <c r="C77" s="9">
        <f>2730</f>
        <v>2730</v>
      </c>
      <c r="D77" s="9">
        <f>2730</f>
        <v>2730</v>
      </c>
      <c r="E77" s="9">
        <f>2730</f>
        <v>2730</v>
      </c>
      <c r="F77" s="9">
        <f>2730</f>
        <v>2730</v>
      </c>
      <c r="G77" s="9">
        <f>2730</f>
        <v>2730</v>
      </c>
      <c r="H77" s="9">
        <f>2730</f>
        <v>2730</v>
      </c>
      <c r="I77" s="9">
        <f>2730</f>
        <v>2730</v>
      </c>
      <c r="J77" s="9">
        <f>2730</f>
        <v>2730</v>
      </c>
      <c r="K77" s="9">
        <f>2730</f>
        <v>2730</v>
      </c>
      <c r="L77" s="9">
        <f>2730</f>
        <v>2730</v>
      </c>
      <c r="M77" s="9">
        <f>2730</f>
        <v>2730</v>
      </c>
      <c r="N77" s="9">
        <f t="shared" si="27"/>
        <v>32760</v>
      </c>
    </row>
    <row r="78" spans="1:14" x14ac:dyDescent="0.25">
      <c r="A78" s="3" t="s">
        <v>85</v>
      </c>
      <c r="B78" s="9">
        <f>2951.65</f>
        <v>2951.65</v>
      </c>
      <c r="C78" s="9">
        <f>2951.69</f>
        <v>2951.69</v>
      </c>
      <c r="D78" s="9">
        <f t="shared" ref="D78:M78" si="30">2951.65</f>
        <v>2951.65</v>
      </c>
      <c r="E78" s="9">
        <f t="shared" si="30"/>
        <v>2951.65</v>
      </c>
      <c r="F78" s="9">
        <f t="shared" si="30"/>
        <v>2951.65</v>
      </c>
      <c r="G78" s="9">
        <f t="shared" si="30"/>
        <v>2951.65</v>
      </c>
      <c r="H78" s="9">
        <f t="shared" si="30"/>
        <v>2951.65</v>
      </c>
      <c r="I78" s="9">
        <f t="shared" si="30"/>
        <v>2951.65</v>
      </c>
      <c r="J78" s="9">
        <f t="shared" si="30"/>
        <v>2951.65</v>
      </c>
      <c r="K78" s="9">
        <f t="shared" si="30"/>
        <v>2951.65</v>
      </c>
      <c r="L78" s="9">
        <f t="shared" si="30"/>
        <v>2951.65</v>
      </c>
      <c r="M78" s="9">
        <f t="shared" si="30"/>
        <v>2951.65</v>
      </c>
      <c r="N78" s="9">
        <f t="shared" si="27"/>
        <v>35419.840000000004</v>
      </c>
    </row>
    <row r="79" spans="1:14" x14ac:dyDescent="0.25">
      <c r="A79" s="3" t="s">
        <v>86</v>
      </c>
      <c r="B79" s="10">
        <f t="shared" ref="B79:M79" si="31">(((B75)+(B76))+(B77))+(B78)</f>
        <v>36751.700000000004</v>
      </c>
      <c r="C79" s="10">
        <f t="shared" si="31"/>
        <v>36751.72</v>
      </c>
      <c r="D79" s="10">
        <f t="shared" si="31"/>
        <v>36751.68</v>
      </c>
      <c r="E79" s="10">
        <f t="shared" si="31"/>
        <v>36751.68</v>
      </c>
      <c r="F79" s="10">
        <f t="shared" si="31"/>
        <v>36751.68</v>
      </c>
      <c r="G79" s="10">
        <f t="shared" si="31"/>
        <v>36751.68</v>
      </c>
      <c r="H79" s="10">
        <f t="shared" si="31"/>
        <v>36751.68</v>
      </c>
      <c r="I79" s="10">
        <f t="shared" si="31"/>
        <v>36751.68</v>
      </c>
      <c r="J79" s="10">
        <f t="shared" si="31"/>
        <v>36751.68</v>
      </c>
      <c r="K79" s="10">
        <f t="shared" si="31"/>
        <v>36751.68</v>
      </c>
      <c r="L79" s="10">
        <f t="shared" si="31"/>
        <v>36751.68</v>
      </c>
      <c r="M79" s="10">
        <f t="shared" si="31"/>
        <v>36751.68</v>
      </c>
      <c r="N79" s="10">
        <f t="shared" si="27"/>
        <v>441020.22</v>
      </c>
    </row>
    <row r="80" spans="1:14" x14ac:dyDescent="0.25">
      <c r="A80" s="3" t="s">
        <v>87</v>
      </c>
      <c r="B80" s="9">
        <f t="shared" ref="B80:L80" si="32">118.33</f>
        <v>118.33</v>
      </c>
      <c r="C80" s="9">
        <f t="shared" si="32"/>
        <v>118.33</v>
      </c>
      <c r="D80" s="9">
        <f t="shared" si="32"/>
        <v>118.33</v>
      </c>
      <c r="E80" s="9">
        <f t="shared" si="32"/>
        <v>118.33</v>
      </c>
      <c r="F80" s="9">
        <f t="shared" si="32"/>
        <v>118.33</v>
      </c>
      <c r="G80" s="9">
        <f t="shared" si="32"/>
        <v>118.33</v>
      </c>
      <c r="H80" s="9">
        <f t="shared" si="32"/>
        <v>118.33</v>
      </c>
      <c r="I80" s="9">
        <f t="shared" si="32"/>
        <v>118.33</v>
      </c>
      <c r="J80" s="9">
        <f t="shared" si="32"/>
        <v>118.33</v>
      </c>
      <c r="K80" s="9">
        <f t="shared" si="32"/>
        <v>118.33</v>
      </c>
      <c r="L80" s="9">
        <f t="shared" si="32"/>
        <v>118.33</v>
      </c>
      <c r="M80" s="9">
        <f>118.37</f>
        <v>118.37</v>
      </c>
      <c r="N80" s="9">
        <f t="shared" si="27"/>
        <v>1420</v>
      </c>
    </row>
    <row r="81" spans="1:14" x14ac:dyDescent="0.25">
      <c r="A81" s="3" t="s">
        <v>88</v>
      </c>
      <c r="B81" s="9">
        <f>5625</f>
        <v>5625</v>
      </c>
      <c r="C81" s="9">
        <f>5625</f>
        <v>5625</v>
      </c>
      <c r="D81" s="9">
        <f>5625</f>
        <v>5625</v>
      </c>
      <c r="E81" s="9">
        <f>5625</f>
        <v>5625</v>
      </c>
      <c r="F81" s="9">
        <f>5625</f>
        <v>5625</v>
      </c>
      <c r="G81" s="9">
        <f>5625</f>
        <v>5625</v>
      </c>
      <c r="H81" s="9">
        <f>5625</f>
        <v>5625</v>
      </c>
      <c r="I81" s="9">
        <f>5625</f>
        <v>5625</v>
      </c>
      <c r="J81" s="9">
        <f>5625</f>
        <v>5625</v>
      </c>
      <c r="K81" s="9">
        <f>5625</f>
        <v>5625</v>
      </c>
      <c r="L81" s="9">
        <f>5625</f>
        <v>5625</v>
      </c>
      <c r="M81" s="9">
        <f>5625</f>
        <v>5625</v>
      </c>
      <c r="N81" s="9">
        <f t="shared" si="27"/>
        <v>67500</v>
      </c>
    </row>
    <row r="82" spans="1:14" x14ac:dyDescent="0.25">
      <c r="A82" s="3" t="s">
        <v>89</v>
      </c>
      <c r="B82" s="9">
        <f t="shared" ref="B82:M82" si="33">112.5</f>
        <v>112.5</v>
      </c>
      <c r="C82" s="9">
        <f t="shared" si="33"/>
        <v>112.5</v>
      </c>
      <c r="D82" s="9">
        <f t="shared" si="33"/>
        <v>112.5</v>
      </c>
      <c r="E82" s="9">
        <f t="shared" si="33"/>
        <v>112.5</v>
      </c>
      <c r="F82" s="9">
        <f t="shared" si="33"/>
        <v>112.5</v>
      </c>
      <c r="G82" s="9">
        <f t="shared" si="33"/>
        <v>112.5</v>
      </c>
      <c r="H82" s="9">
        <f t="shared" si="33"/>
        <v>112.5</v>
      </c>
      <c r="I82" s="9">
        <f t="shared" si="33"/>
        <v>112.5</v>
      </c>
      <c r="J82" s="9">
        <f t="shared" si="33"/>
        <v>112.5</v>
      </c>
      <c r="K82" s="9">
        <f t="shared" si="33"/>
        <v>112.5</v>
      </c>
      <c r="L82" s="9">
        <f t="shared" si="33"/>
        <v>112.5</v>
      </c>
      <c r="M82" s="9">
        <f t="shared" si="33"/>
        <v>112.5</v>
      </c>
      <c r="N82" s="9">
        <f t="shared" si="27"/>
        <v>1350</v>
      </c>
    </row>
    <row r="83" spans="1:14" x14ac:dyDescent="0.25">
      <c r="A83" s="3" t="s">
        <v>90</v>
      </c>
      <c r="B83" s="9">
        <f>33.37</f>
        <v>33.369999999999997</v>
      </c>
      <c r="C83" s="9">
        <f t="shared" ref="C83:M83" si="34">33.33</f>
        <v>33.33</v>
      </c>
      <c r="D83" s="9">
        <f t="shared" si="34"/>
        <v>33.33</v>
      </c>
      <c r="E83" s="9">
        <f t="shared" si="34"/>
        <v>33.33</v>
      </c>
      <c r="F83" s="9">
        <f t="shared" si="34"/>
        <v>33.33</v>
      </c>
      <c r="G83" s="9">
        <f t="shared" si="34"/>
        <v>33.33</v>
      </c>
      <c r="H83" s="9">
        <f t="shared" si="34"/>
        <v>33.33</v>
      </c>
      <c r="I83" s="9">
        <f t="shared" si="34"/>
        <v>33.33</v>
      </c>
      <c r="J83" s="9">
        <f t="shared" si="34"/>
        <v>33.33</v>
      </c>
      <c r="K83" s="9">
        <f t="shared" si="34"/>
        <v>33.33</v>
      </c>
      <c r="L83" s="9">
        <f t="shared" si="34"/>
        <v>33.33</v>
      </c>
      <c r="M83" s="9">
        <f t="shared" si="34"/>
        <v>33.33</v>
      </c>
      <c r="N83" s="9">
        <f t="shared" si="27"/>
        <v>399.99999999999989</v>
      </c>
    </row>
    <row r="84" spans="1:14" x14ac:dyDescent="0.25">
      <c r="A84" s="3" t="s">
        <v>91</v>
      </c>
      <c r="B84" s="9">
        <f>0</f>
        <v>0</v>
      </c>
      <c r="C84" s="9">
        <f>0</f>
        <v>0</v>
      </c>
      <c r="D84" s="9">
        <f>1</f>
        <v>1</v>
      </c>
      <c r="E84" s="9">
        <f>0</f>
        <v>0</v>
      </c>
      <c r="F84" s="9">
        <f>0</f>
        <v>0</v>
      </c>
      <c r="G84" s="9">
        <f>0</f>
        <v>0</v>
      </c>
      <c r="H84" s="9">
        <f>0</f>
        <v>0</v>
      </c>
      <c r="I84" s="9">
        <f>0</f>
        <v>0</v>
      </c>
      <c r="J84" s="9">
        <f>0</f>
        <v>0</v>
      </c>
      <c r="K84" s="9">
        <f>0</f>
        <v>0</v>
      </c>
      <c r="L84" s="9">
        <f>0</f>
        <v>0</v>
      </c>
      <c r="M84" s="9">
        <f>0</f>
        <v>0</v>
      </c>
      <c r="N84" s="9">
        <f t="shared" si="27"/>
        <v>1</v>
      </c>
    </row>
    <row r="85" spans="1:14" x14ac:dyDescent="0.25">
      <c r="A85" s="3" t="s">
        <v>92</v>
      </c>
      <c r="B85" s="9">
        <f t="shared" ref="B85:L85" si="35">29.17</f>
        <v>29.17</v>
      </c>
      <c r="C85" s="9">
        <f t="shared" si="35"/>
        <v>29.17</v>
      </c>
      <c r="D85" s="9">
        <f t="shared" si="35"/>
        <v>29.17</v>
      </c>
      <c r="E85" s="9">
        <f t="shared" si="35"/>
        <v>29.17</v>
      </c>
      <c r="F85" s="9">
        <f t="shared" si="35"/>
        <v>29.17</v>
      </c>
      <c r="G85" s="9">
        <f t="shared" si="35"/>
        <v>29.17</v>
      </c>
      <c r="H85" s="9">
        <f t="shared" si="35"/>
        <v>29.17</v>
      </c>
      <c r="I85" s="9">
        <f t="shared" si="35"/>
        <v>29.17</v>
      </c>
      <c r="J85" s="9">
        <f t="shared" si="35"/>
        <v>29.17</v>
      </c>
      <c r="K85" s="9">
        <f t="shared" si="35"/>
        <v>29.17</v>
      </c>
      <c r="L85" s="9">
        <f t="shared" si="35"/>
        <v>29.17</v>
      </c>
      <c r="M85" s="9">
        <f>29.13</f>
        <v>29.13</v>
      </c>
      <c r="N85" s="9">
        <f t="shared" si="27"/>
        <v>350.00000000000011</v>
      </c>
    </row>
    <row r="86" spans="1:14" x14ac:dyDescent="0.25">
      <c r="A86" s="3" t="s">
        <v>93</v>
      </c>
      <c r="B86" s="9">
        <f>3770.87</f>
        <v>3770.87</v>
      </c>
      <c r="C86" s="9">
        <f t="shared" ref="C86:M86" si="36">3770.83</f>
        <v>3770.83</v>
      </c>
      <c r="D86" s="9">
        <f t="shared" si="36"/>
        <v>3770.83</v>
      </c>
      <c r="E86" s="9">
        <f t="shared" si="36"/>
        <v>3770.83</v>
      </c>
      <c r="F86" s="9">
        <f t="shared" si="36"/>
        <v>3770.83</v>
      </c>
      <c r="G86" s="9">
        <f t="shared" si="36"/>
        <v>3770.83</v>
      </c>
      <c r="H86" s="9">
        <f t="shared" si="36"/>
        <v>3770.83</v>
      </c>
      <c r="I86" s="9">
        <f t="shared" si="36"/>
        <v>3770.83</v>
      </c>
      <c r="J86" s="9">
        <f t="shared" si="36"/>
        <v>3770.83</v>
      </c>
      <c r="K86" s="9">
        <f t="shared" si="36"/>
        <v>3770.83</v>
      </c>
      <c r="L86" s="9">
        <f t="shared" si="36"/>
        <v>3770.83</v>
      </c>
      <c r="M86" s="9">
        <f t="shared" si="36"/>
        <v>3770.83</v>
      </c>
      <c r="N86" s="9">
        <f t="shared" si="27"/>
        <v>45250.000000000007</v>
      </c>
    </row>
    <row r="87" spans="1:14" x14ac:dyDescent="0.25">
      <c r="A87" s="3" t="s">
        <v>94</v>
      </c>
      <c r="B87" s="9">
        <f t="shared" ref="B87:L87" si="37">83.33</f>
        <v>83.33</v>
      </c>
      <c r="C87" s="9">
        <f t="shared" si="37"/>
        <v>83.33</v>
      </c>
      <c r="D87" s="9">
        <f t="shared" si="37"/>
        <v>83.33</v>
      </c>
      <c r="E87" s="9">
        <f t="shared" si="37"/>
        <v>83.33</v>
      </c>
      <c r="F87" s="9">
        <f t="shared" si="37"/>
        <v>83.33</v>
      </c>
      <c r="G87" s="9">
        <f t="shared" si="37"/>
        <v>83.33</v>
      </c>
      <c r="H87" s="9">
        <f t="shared" si="37"/>
        <v>83.33</v>
      </c>
      <c r="I87" s="9">
        <f t="shared" si="37"/>
        <v>83.33</v>
      </c>
      <c r="J87" s="9">
        <f t="shared" si="37"/>
        <v>83.33</v>
      </c>
      <c r="K87" s="9">
        <f t="shared" si="37"/>
        <v>83.33</v>
      </c>
      <c r="L87" s="9">
        <f t="shared" si="37"/>
        <v>83.33</v>
      </c>
      <c r="M87" s="9">
        <f>83.37</f>
        <v>83.37</v>
      </c>
      <c r="N87" s="9">
        <f t="shared" si="27"/>
        <v>1000.0000000000001</v>
      </c>
    </row>
    <row r="88" spans="1:14" x14ac:dyDescent="0.25">
      <c r="A88" s="3" t="s">
        <v>95</v>
      </c>
      <c r="B88" s="9">
        <f>300</f>
        <v>300</v>
      </c>
      <c r="C88" s="9">
        <f>300</f>
        <v>300</v>
      </c>
      <c r="D88" s="9">
        <f>300</f>
        <v>300</v>
      </c>
      <c r="E88" s="9">
        <f>300</f>
        <v>300</v>
      </c>
      <c r="F88" s="9">
        <f>300</f>
        <v>300</v>
      </c>
      <c r="G88" s="9">
        <f>300</f>
        <v>300</v>
      </c>
      <c r="H88" s="9">
        <f>300</f>
        <v>300</v>
      </c>
      <c r="I88" s="9">
        <f>300</f>
        <v>300</v>
      </c>
      <c r="J88" s="9">
        <f>300</f>
        <v>300</v>
      </c>
      <c r="K88" s="9">
        <f>300</f>
        <v>300</v>
      </c>
      <c r="L88" s="9">
        <f>300</f>
        <v>300</v>
      </c>
      <c r="M88" s="9">
        <f>300</f>
        <v>300</v>
      </c>
      <c r="N88" s="9">
        <f t="shared" si="27"/>
        <v>3600</v>
      </c>
    </row>
    <row r="89" spans="1:14" x14ac:dyDescent="0.25">
      <c r="A89" s="3" t="s">
        <v>96</v>
      </c>
      <c r="B89" s="9">
        <f>1500</f>
        <v>1500</v>
      </c>
      <c r="C89" s="9">
        <f>1500</f>
        <v>1500</v>
      </c>
      <c r="D89" s="9">
        <f>1500</f>
        <v>1500</v>
      </c>
      <c r="E89" s="9">
        <f>1500</f>
        <v>1500</v>
      </c>
      <c r="F89" s="9">
        <f>1500</f>
        <v>1500</v>
      </c>
      <c r="G89" s="9">
        <f>1500</f>
        <v>1500</v>
      </c>
      <c r="H89" s="9">
        <f>1500</f>
        <v>1500</v>
      </c>
      <c r="I89" s="9">
        <f>1500</f>
        <v>1500</v>
      </c>
      <c r="J89" s="9">
        <f>1500</f>
        <v>1500</v>
      </c>
      <c r="K89" s="9">
        <f>1500</f>
        <v>1500</v>
      </c>
      <c r="L89" s="9">
        <f>1500</f>
        <v>1500</v>
      </c>
      <c r="M89" s="9">
        <f>1500</f>
        <v>1500</v>
      </c>
      <c r="N89" s="9">
        <f t="shared" si="27"/>
        <v>18000</v>
      </c>
    </row>
    <row r="90" spans="1:14" x14ac:dyDescent="0.25">
      <c r="A90" s="3" t="s">
        <v>97</v>
      </c>
      <c r="B90" s="9">
        <f>333.37</f>
        <v>333.37</v>
      </c>
      <c r="C90" s="9">
        <f t="shared" ref="C90:M90" si="38">333.33</f>
        <v>333.33</v>
      </c>
      <c r="D90" s="9">
        <f t="shared" si="38"/>
        <v>333.33</v>
      </c>
      <c r="E90" s="9">
        <f t="shared" si="38"/>
        <v>333.33</v>
      </c>
      <c r="F90" s="9">
        <f t="shared" si="38"/>
        <v>333.33</v>
      </c>
      <c r="G90" s="9">
        <f t="shared" si="38"/>
        <v>333.33</v>
      </c>
      <c r="H90" s="9">
        <f t="shared" si="38"/>
        <v>333.33</v>
      </c>
      <c r="I90" s="9">
        <f t="shared" si="38"/>
        <v>333.33</v>
      </c>
      <c r="J90" s="9">
        <f t="shared" si="38"/>
        <v>333.33</v>
      </c>
      <c r="K90" s="9">
        <f t="shared" si="38"/>
        <v>333.33</v>
      </c>
      <c r="L90" s="9">
        <f t="shared" si="38"/>
        <v>333.33</v>
      </c>
      <c r="M90" s="9">
        <f t="shared" si="38"/>
        <v>333.33</v>
      </c>
      <c r="N90" s="9">
        <f t="shared" si="27"/>
        <v>3999.9999999999995</v>
      </c>
    </row>
    <row r="91" spans="1:14" x14ac:dyDescent="0.25">
      <c r="A91" s="3" t="s">
        <v>98</v>
      </c>
      <c r="B91" s="10">
        <f t="shared" ref="B91:M91" si="39">(B89)+(B90)</f>
        <v>1833.37</v>
      </c>
      <c r="C91" s="10">
        <f t="shared" si="39"/>
        <v>1833.33</v>
      </c>
      <c r="D91" s="10">
        <f t="shared" si="39"/>
        <v>1833.33</v>
      </c>
      <c r="E91" s="10">
        <f t="shared" si="39"/>
        <v>1833.33</v>
      </c>
      <c r="F91" s="10">
        <f t="shared" si="39"/>
        <v>1833.33</v>
      </c>
      <c r="G91" s="10">
        <f t="shared" si="39"/>
        <v>1833.33</v>
      </c>
      <c r="H91" s="10">
        <f t="shared" si="39"/>
        <v>1833.33</v>
      </c>
      <c r="I91" s="10">
        <f t="shared" si="39"/>
        <v>1833.33</v>
      </c>
      <c r="J91" s="10">
        <f t="shared" si="39"/>
        <v>1833.33</v>
      </c>
      <c r="K91" s="10">
        <f t="shared" si="39"/>
        <v>1833.33</v>
      </c>
      <c r="L91" s="10">
        <f t="shared" si="39"/>
        <v>1833.33</v>
      </c>
      <c r="M91" s="10">
        <f t="shared" si="39"/>
        <v>1833.33</v>
      </c>
      <c r="N91" s="10">
        <f t="shared" si="27"/>
        <v>22000</v>
      </c>
    </row>
    <row r="92" spans="1:14" x14ac:dyDescent="0.25">
      <c r="A92" s="3" t="s">
        <v>99</v>
      </c>
      <c r="B92" s="9">
        <f>1416.63</f>
        <v>1416.63</v>
      </c>
      <c r="C92" s="9">
        <f t="shared" ref="C92:M92" si="40">1416.67</f>
        <v>1416.67</v>
      </c>
      <c r="D92" s="9">
        <f t="shared" si="40"/>
        <v>1416.67</v>
      </c>
      <c r="E92" s="9">
        <f t="shared" si="40"/>
        <v>1416.67</v>
      </c>
      <c r="F92" s="9">
        <f t="shared" si="40"/>
        <v>1416.67</v>
      </c>
      <c r="G92" s="9">
        <f t="shared" si="40"/>
        <v>1416.67</v>
      </c>
      <c r="H92" s="9">
        <f t="shared" si="40"/>
        <v>1416.67</v>
      </c>
      <c r="I92" s="9">
        <f t="shared" si="40"/>
        <v>1416.67</v>
      </c>
      <c r="J92" s="9">
        <f t="shared" si="40"/>
        <v>1416.67</v>
      </c>
      <c r="K92" s="9">
        <f t="shared" si="40"/>
        <v>1416.67</v>
      </c>
      <c r="L92" s="9">
        <f t="shared" si="40"/>
        <v>1416.67</v>
      </c>
      <c r="M92" s="9">
        <f t="shared" si="40"/>
        <v>1416.67</v>
      </c>
      <c r="N92" s="9">
        <f t="shared" si="27"/>
        <v>17000</v>
      </c>
    </row>
    <row r="93" spans="1:14" x14ac:dyDescent="0.25">
      <c r="A93" s="3" t="s">
        <v>100</v>
      </c>
      <c r="B93" s="9">
        <f>541.63</f>
        <v>541.63</v>
      </c>
      <c r="C93" s="9">
        <f t="shared" ref="C93:M93" si="41">541.67</f>
        <v>541.66999999999996</v>
      </c>
      <c r="D93" s="9">
        <f t="shared" si="41"/>
        <v>541.66999999999996</v>
      </c>
      <c r="E93" s="9">
        <f t="shared" si="41"/>
        <v>541.66999999999996</v>
      </c>
      <c r="F93" s="9">
        <f t="shared" si="41"/>
        <v>541.66999999999996</v>
      </c>
      <c r="G93" s="9">
        <f t="shared" si="41"/>
        <v>541.66999999999996</v>
      </c>
      <c r="H93" s="9">
        <f t="shared" si="41"/>
        <v>541.66999999999996</v>
      </c>
      <c r="I93" s="9">
        <f t="shared" si="41"/>
        <v>541.66999999999996</v>
      </c>
      <c r="J93" s="9">
        <f t="shared" si="41"/>
        <v>541.66999999999996</v>
      </c>
      <c r="K93" s="9">
        <f t="shared" si="41"/>
        <v>541.66999999999996</v>
      </c>
      <c r="L93" s="9">
        <f t="shared" si="41"/>
        <v>541.66999999999996</v>
      </c>
      <c r="M93" s="9">
        <f t="shared" si="41"/>
        <v>541.66999999999996</v>
      </c>
      <c r="N93" s="9">
        <f t="shared" si="27"/>
        <v>6500</v>
      </c>
    </row>
    <row r="94" spans="1:14" x14ac:dyDescent="0.25">
      <c r="A94" s="3" t="s">
        <v>101</v>
      </c>
      <c r="B94" s="9">
        <f>41.63</f>
        <v>41.63</v>
      </c>
      <c r="C94" s="9">
        <f t="shared" ref="C94:M94" si="42">41.67</f>
        <v>41.67</v>
      </c>
      <c r="D94" s="9">
        <f t="shared" si="42"/>
        <v>41.67</v>
      </c>
      <c r="E94" s="9">
        <f t="shared" si="42"/>
        <v>41.67</v>
      </c>
      <c r="F94" s="9">
        <f t="shared" si="42"/>
        <v>41.67</v>
      </c>
      <c r="G94" s="9">
        <f t="shared" si="42"/>
        <v>41.67</v>
      </c>
      <c r="H94" s="9">
        <f t="shared" si="42"/>
        <v>41.67</v>
      </c>
      <c r="I94" s="9">
        <f t="shared" si="42"/>
        <v>41.67</v>
      </c>
      <c r="J94" s="9">
        <f t="shared" si="42"/>
        <v>41.67</v>
      </c>
      <c r="K94" s="9">
        <f t="shared" si="42"/>
        <v>41.67</v>
      </c>
      <c r="L94" s="9">
        <f t="shared" si="42"/>
        <v>41.67</v>
      </c>
      <c r="M94" s="9">
        <f t="shared" si="42"/>
        <v>41.67</v>
      </c>
      <c r="N94" s="9">
        <f t="shared" si="27"/>
        <v>500.00000000000011</v>
      </c>
    </row>
    <row r="95" spans="1:14" x14ac:dyDescent="0.25">
      <c r="A95" s="3" t="s">
        <v>102</v>
      </c>
      <c r="B95" s="9">
        <f>125</f>
        <v>125</v>
      </c>
      <c r="C95" s="9">
        <f>125</f>
        <v>125</v>
      </c>
      <c r="D95" s="9">
        <f>125</f>
        <v>125</v>
      </c>
      <c r="E95" s="9">
        <f>125</f>
        <v>125</v>
      </c>
      <c r="F95" s="9">
        <f>125</f>
        <v>125</v>
      </c>
      <c r="G95" s="9">
        <f>125</f>
        <v>125</v>
      </c>
      <c r="H95" s="9">
        <f>125</f>
        <v>125</v>
      </c>
      <c r="I95" s="9">
        <f>125</f>
        <v>125</v>
      </c>
      <c r="J95" s="9">
        <f>125</f>
        <v>125</v>
      </c>
      <c r="K95" s="9">
        <f>125</f>
        <v>125</v>
      </c>
      <c r="L95" s="9">
        <f>125</f>
        <v>125</v>
      </c>
      <c r="M95" s="9">
        <f>125</f>
        <v>125</v>
      </c>
      <c r="N95" s="9">
        <f t="shared" si="27"/>
        <v>1500</v>
      </c>
    </row>
    <row r="96" spans="1:14" x14ac:dyDescent="0.25">
      <c r="A96" s="3" t="s">
        <v>103</v>
      </c>
      <c r="B96" s="9">
        <f>41.63</f>
        <v>41.63</v>
      </c>
      <c r="C96" s="9">
        <f t="shared" ref="C96:M96" si="43">41.67</f>
        <v>41.67</v>
      </c>
      <c r="D96" s="9">
        <f t="shared" si="43"/>
        <v>41.67</v>
      </c>
      <c r="E96" s="9">
        <f t="shared" si="43"/>
        <v>41.67</v>
      </c>
      <c r="F96" s="9">
        <f t="shared" si="43"/>
        <v>41.67</v>
      </c>
      <c r="G96" s="9">
        <f t="shared" si="43"/>
        <v>41.67</v>
      </c>
      <c r="H96" s="9">
        <f t="shared" si="43"/>
        <v>41.67</v>
      </c>
      <c r="I96" s="9">
        <f t="shared" si="43"/>
        <v>41.67</v>
      </c>
      <c r="J96" s="9">
        <f t="shared" si="43"/>
        <v>41.67</v>
      </c>
      <c r="K96" s="9">
        <f t="shared" si="43"/>
        <v>41.67</v>
      </c>
      <c r="L96" s="9">
        <f t="shared" si="43"/>
        <v>41.67</v>
      </c>
      <c r="M96" s="9">
        <f t="shared" si="43"/>
        <v>41.67</v>
      </c>
      <c r="N96" s="9">
        <f t="shared" si="27"/>
        <v>500.00000000000011</v>
      </c>
    </row>
    <row r="97" spans="1:14" x14ac:dyDescent="0.25">
      <c r="A97" s="3" t="s">
        <v>104</v>
      </c>
      <c r="B97" s="9">
        <f>30.38</f>
        <v>30.38</v>
      </c>
      <c r="C97" s="9">
        <f t="shared" ref="C97:M97" si="44">30.42</f>
        <v>30.42</v>
      </c>
      <c r="D97" s="9">
        <f t="shared" si="44"/>
        <v>30.42</v>
      </c>
      <c r="E97" s="9">
        <f t="shared" si="44"/>
        <v>30.42</v>
      </c>
      <c r="F97" s="9">
        <f t="shared" si="44"/>
        <v>30.42</v>
      </c>
      <c r="G97" s="9">
        <f t="shared" si="44"/>
        <v>30.42</v>
      </c>
      <c r="H97" s="9">
        <f t="shared" si="44"/>
        <v>30.42</v>
      </c>
      <c r="I97" s="9">
        <f t="shared" si="44"/>
        <v>30.42</v>
      </c>
      <c r="J97" s="9">
        <f t="shared" si="44"/>
        <v>30.42</v>
      </c>
      <c r="K97" s="9">
        <f t="shared" si="44"/>
        <v>30.42</v>
      </c>
      <c r="L97" s="9">
        <f t="shared" si="44"/>
        <v>30.42</v>
      </c>
      <c r="M97" s="9">
        <f t="shared" si="44"/>
        <v>30.42</v>
      </c>
      <c r="N97" s="9">
        <f t="shared" si="27"/>
        <v>365.00000000000011</v>
      </c>
    </row>
    <row r="98" spans="1:14" x14ac:dyDescent="0.25">
      <c r="A98" s="3" t="s">
        <v>105</v>
      </c>
      <c r="B98" s="9">
        <f>58.33</f>
        <v>58.33</v>
      </c>
      <c r="C98" s="9">
        <f>58.37</f>
        <v>58.37</v>
      </c>
      <c r="D98" s="9">
        <f t="shared" ref="D98:M98" si="45">58.33</f>
        <v>58.33</v>
      </c>
      <c r="E98" s="9">
        <f t="shared" si="45"/>
        <v>58.33</v>
      </c>
      <c r="F98" s="9">
        <f t="shared" si="45"/>
        <v>58.33</v>
      </c>
      <c r="G98" s="9">
        <f t="shared" si="45"/>
        <v>58.33</v>
      </c>
      <c r="H98" s="9">
        <f t="shared" si="45"/>
        <v>58.33</v>
      </c>
      <c r="I98" s="9">
        <f t="shared" si="45"/>
        <v>58.33</v>
      </c>
      <c r="J98" s="9">
        <f t="shared" si="45"/>
        <v>58.33</v>
      </c>
      <c r="K98" s="9">
        <f t="shared" si="45"/>
        <v>58.33</v>
      </c>
      <c r="L98" s="9">
        <f t="shared" si="45"/>
        <v>58.33</v>
      </c>
      <c r="M98" s="9">
        <f t="shared" si="45"/>
        <v>58.33</v>
      </c>
      <c r="N98" s="9">
        <f t="shared" si="27"/>
        <v>700</v>
      </c>
    </row>
    <row r="99" spans="1:14" x14ac:dyDescent="0.25">
      <c r="A99" s="3" t="s">
        <v>106</v>
      </c>
      <c r="B99" s="9">
        <f>39.58</f>
        <v>39.58</v>
      </c>
      <c r="C99" s="9">
        <f>39.62</f>
        <v>39.619999999999997</v>
      </c>
      <c r="D99" s="9">
        <f t="shared" ref="D99:M99" si="46">39.58</f>
        <v>39.58</v>
      </c>
      <c r="E99" s="9">
        <f t="shared" si="46"/>
        <v>39.58</v>
      </c>
      <c r="F99" s="9">
        <f t="shared" si="46"/>
        <v>39.58</v>
      </c>
      <c r="G99" s="9">
        <f t="shared" si="46"/>
        <v>39.58</v>
      </c>
      <c r="H99" s="9">
        <f t="shared" si="46"/>
        <v>39.58</v>
      </c>
      <c r="I99" s="9">
        <f t="shared" si="46"/>
        <v>39.58</v>
      </c>
      <c r="J99" s="9">
        <f t="shared" si="46"/>
        <v>39.58</v>
      </c>
      <c r="K99" s="9">
        <f t="shared" si="46"/>
        <v>39.58</v>
      </c>
      <c r="L99" s="9">
        <f t="shared" si="46"/>
        <v>39.58</v>
      </c>
      <c r="M99" s="9">
        <f t="shared" si="46"/>
        <v>39.58</v>
      </c>
      <c r="N99" s="9">
        <f t="shared" si="27"/>
        <v>474.99999999999989</v>
      </c>
    </row>
    <row r="100" spans="1:14" x14ac:dyDescent="0.25">
      <c r="A100" s="3" t="s">
        <v>107</v>
      </c>
      <c r="B100" s="9">
        <f>33.37</f>
        <v>33.369999999999997</v>
      </c>
      <c r="C100" s="9">
        <f t="shared" ref="C100:M100" si="47">33.33</f>
        <v>33.33</v>
      </c>
      <c r="D100" s="9">
        <f t="shared" si="47"/>
        <v>33.33</v>
      </c>
      <c r="E100" s="9">
        <f t="shared" si="47"/>
        <v>33.33</v>
      </c>
      <c r="F100" s="9">
        <f t="shared" si="47"/>
        <v>33.33</v>
      </c>
      <c r="G100" s="9">
        <f t="shared" si="47"/>
        <v>33.33</v>
      </c>
      <c r="H100" s="9">
        <f t="shared" si="47"/>
        <v>33.33</v>
      </c>
      <c r="I100" s="9">
        <f t="shared" si="47"/>
        <v>33.33</v>
      </c>
      <c r="J100" s="9">
        <f t="shared" si="47"/>
        <v>33.33</v>
      </c>
      <c r="K100" s="9">
        <f t="shared" si="47"/>
        <v>33.33</v>
      </c>
      <c r="L100" s="9">
        <f t="shared" si="47"/>
        <v>33.33</v>
      </c>
      <c r="M100" s="9">
        <f t="shared" si="47"/>
        <v>33.33</v>
      </c>
      <c r="N100" s="9">
        <f t="shared" si="27"/>
        <v>399.99999999999989</v>
      </c>
    </row>
    <row r="101" spans="1:14" x14ac:dyDescent="0.25">
      <c r="A101" s="3" t="s">
        <v>108</v>
      </c>
      <c r="B101" s="9">
        <f>250</f>
        <v>250</v>
      </c>
      <c r="C101" s="9">
        <f>250</f>
        <v>250</v>
      </c>
      <c r="D101" s="9">
        <f>250</f>
        <v>250</v>
      </c>
      <c r="E101" s="9">
        <f>250</f>
        <v>250</v>
      </c>
      <c r="F101" s="9">
        <f>250</f>
        <v>250</v>
      </c>
      <c r="G101" s="9">
        <f>250</f>
        <v>250</v>
      </c>
      <c r="H101" s="9">
        <f>250</f>
        <v>250</v>
      </c>
      <c r="I101" s="9">
        <f>250</f>
        <v>250</v>
      </c>
      <c r="J101" s="9">
        <f>250</f>
        <v>250</v>
      </c>
      <c r="K101" s="9">
        <f>250</f>
        <v>250</v>
      </c>
      <c r="L101" s="9">
        <f>250</f>
        <v>250</v>
      </c>
      <c r="M101" s="9">
        <f>250</f>
        <v>250</v>
      </c>
      <c r="N101" s="9">
        <f t="shared" si="27"/>
        <v>3000</v>
      </c>
    </row>
    <row r="102" spans="1:14" x14ac:dyDescent="0.25">
      <c r="A102" s="3" t="s">
        <v>109</v>
      </c>
      <c r="B102" s="9">
        <f>125</f>
        <v>125</v>
      </c>
      <c r="C102" s="9">
        <f>125</f>
        <v>125</v>
      </c>
      <c r="D102" s="9">
        <f>125</f>
        <v>125</v>
      </c>
      <c r="E102" s="9">
        <f>125</f>
        <v>125</v>
      </c>
      <c r="F102" s="9">
        <f>125</f>
        <v>125</v>
      </c>
      <c r="G102" s="9">
        <f>125</f>
        <v>125</v>
      </c>
      <c r="H102" s="9">
        <f>125</f>
        <v>125</v>
      </c>
      <c r="I102" s="9">
        <f>125</f>
        <v>125</v>
      </c>
      <c r="J102" s="9">
        <f>125</f>
        <v>125</v>
      </c>
      <c r="K102" s="9">
        <f>125</f>
        <v>125</v>
      </c>
      <c r="L102" s="9">
        <f>125</f>
        <v>125</v>
      </c>
      <c r="M102" s="9">
        <f>125</f>
        <v>125</v>
      </c>
      <c r="N102" s="9">
        <f t="shared" si="27"/>
        <v>1500</v>
      </c>
    </row>
    <row r="103" spans="1:14" x14ac:dyDescent="0.25">
      <c r="A103" s="3" t="s">
        <v>110</v>
      </c>
      <c r="B103" s="9">
        <f>166.63</f>
        <v>166.63</v>
      </c>
      <c r="C103" s="9">
        <f t="shared" ref="C103:M103" si="48">166.67</f>
        <v>166.67</v>
      </c>
      <c r="D103" s="9">
        <f t="shared" si="48"/>
        <v>166.67</v>
      </c>
      <c r="E103" s="9">
        <f t="shared" si="48"/>
        <v>166.67</v>
      </c>
      <c r="F103" s="9">
        <f t="shared" si="48"/>
        <v>166.67</v>
      </c>
      <c r="G103" s="9">
        <f t="shared" si="48"/>
        <v>166.67</v>
      </c>
      <c r="H103" s="9">
        <f t="shared" si="48"/>
        <v>166.67</v>
      </c>
      <c r="I103" s="9">
        <f t="shared" si="48"/>
        <v>166.67</v>
      </c>
      <c r="J103" s="9">
        <f t="shared" si="48"/>
        <v>166.67</v>
      </c>
      <c r="K103" s="9">
        <f t="shared" si="48"/>
        <v>166.67</v>
      </c>
      <c r="L103" s="9">
        <f t="shared" si="48"/>
        <v>166.67</v>
      </c>
      <c r="M103" s="9">
        <f t="shared" si="48"/>
        <v>166.67</v>
      </c>
      <c r="N103" s="9">
        <f t="shared" si="27"/>
        <v>2000.0000000000002</v>
      </c>
    </row>
    <row r="104" spans="1:14" x14ac:dyDescent="0.25">
      <c r="A104" s="3" t="s">
        <v>111</v>
      </c>
      <c r="B104" s="9">
        <f>791.63</f>
        <v>791.63</v>
      </c>
      <c r="C104" s="9">
        <f t="shared" ref="C104:M104" si="49">791.67</f>
        <v>791.67</v>
      </c>
      <c r="D104" s="9">
        <f t="shared" si="49"/>
        <v>791.67</v>
      </c>
      <c r="E104" s="9">
        <f t="shared" si="49"/>
        <v>791.67</v>
      </c>
      <c r="F104" s="9">
        <f t="shared" si="49"/>
        <v>791.67</v>
      </c>
      <c r="G104" s="9">
        <f t="shared" si="49"/>
        <v>791.67</v>
      </c>
      <c r="H104" s="9">
        <f t="shared" si="49"/>
        <v>791.67</v>
      </c>
      <c r="I104" s="9">
        <f t="shared" si="49"/>
        <v>791.67</v>
      </c>
      <c r="J104" s="9">
        <f t="shared" si="49"/>
        <v>791.67</v>
      </c>
      <c r="K104" s="9">
        <f t="shared" si="49"/>
        <v>791.67</v>
      </c>
      <c r="L104" s="9">
        <f t="shared" si="49"/>
        <v>791.67</v>
      </c>
      <c r="M104" s="9">
        <f t="shared" si="49"/>
        <v>791.67</v>
      </c>
      <c r="N104" s="9">
        <f t="shared" si="27"/>
        <v>9500</v>
      </c>
    </row>
    <row r="105" spans="1:14" x14ac:dyDescent="0.25">
      <c r="A105" s="3" t="s">
        <v>112</v>
      </c>
      <c r="B105" s="9">
        <f>125</f>
        <v>125</v>
      </c>
      <c r="C105" s="9">
        <f>125</f>
        <v>125</v>
      </c>
      <c r="D105" s="9">
        <f>125</f>
        <v>125</v>
      </c>
      <c r="E105" s="9">
        <f>125</f>
        <v>125</v>
      </c>
      <c r="F105" s="9">
        <f>125</f>
        <v>125</v>
      </c>
      <c r="G105" s="9">
        <f>125</f>
        <v>125</v>
      </c>
      <c r="H105" s="9">
        <f>125</f>
        <v>125</v>
      </c>
      <c r="I105" s="9">
        <f>125</f>
        <v>125</v>
      </c>
      <c r="J105" s="9">
        <f>125</f>
        <v>125</v>
      </c>
      <c r="K105" s="9">
        <f>125</f>
        <v>125</v>
      </c>
      <c r="L105" s="9">
        <f>125</f>
        <v>125</v>
      </c>
      <c r="M105" s="9">
        <f>125</f>
        <v>125</v>
      </c>
      <c r="N105" s="9">
        <f t="shared" si="27"/>
        <v>1500</v>
      </c>
    </row>
    <row r="106" spans="1:14" x14ac:dyDescent="0.25">
      <c r="A106" s="3" t="s">
        <v>113</v>
      </c>
      <c r="B106" s="9">
        <f>3416.63</f>
        <v>3416.63</v>
      </c>
      <c r="C106" s="9">
        <f t="shared" ref="C106:M106" si="50">3416.67</f>
        <v>3416.67</v>
      </c>
      <c r="D106" s="9">
        <f t="shared" si="50"/>
        <v>3416.67</v>
      </c>
      <c r="E106" s="9">
        <f t="shared" si="50"/>
        <v>3416.67</v>
      </c>
      <c r="F106" s="9">
        <f t="shared" si="50"/>
        <v>3416.67</v>
      </c>
      <c r="G106" s="9">
        <f t="shared" si="50"/>
        <v>3416.67</v>
      </c>
      <c r="H106" s="9">
        <f t="shared" si="50"/>
        <v>3416.67</v>
      </c>
      <c r="I106" s="9">
        <f t="shared" si="50"/>
        <v>3416.67</v>
      </c>
      <c r="J106" s="9">
        <f t="shared" si="50"/>
        <v>3416.67</v>
      </c>
      <c r="K106" s="9">
        <f t="shared" si="50"/>
        <v>3416.67</v>
      </c>
      <c r="L106" s="9">
        <f t="shared" si="50"/>
        <v>3416.67</v>
      </c>
      <c r="M106" s="9">
        <f t="shared" si="50"/>
        <v>3416.67</v>
      </c>
      <c r="N106" s="9">
        <f t="shared" si="27"/>
        <v>40999.999999999993</v>
      </c>
    </row>
    <row r="107" spans="1:14" x14ac:dyDescent="0.25">
      <c r="A107" s="3" t="s">
        <v>114</v>
      </c>
      <c r="B107" s="9">
        <f t="shared" ref="B107:M107" si="51">187.5</f>
        <v>187.5</v>
      </c>
      <c r="C107" s="9">
        <f t="shared" si="51"/>
        <v>187.5</v>
      </c>
      <c r="D107" s="9">
        <f t="shared" si="51"/>
        <v>187.5</v>
      </c>
      <c r="E107" s="9">
        <f t="shared" si="51"/>
        <v>187.5</v>
      </c>
      <c r="F107" s="9">
        <f t="shared" si="51"/>
        <v>187.5</v>
      </c>
      <c r="G107" s="9">
        <f t="shared" si="51"/>
        <v>187.5</v>
      </c>
      <c r="H107" s="9">
        <f t="shared" si="51"/>
        <v>187.5</v>
      </c>
      <c r="I107" s="9">
        <f t="shared" si="51"/>
        <v>187.5</v>
      </c>
      <c r="J107" s="9">
        <f t="shared" si="51"/>
        <v>187.5</v>
      </c>
      <c r="K107" s="9">
        <f t="shared" si="51"/>
        <v>187.5</v>
      </c>
      <c r="L107" s="9">
        <f t="shared" si="51"/>
        <v>187.5</v>
      </c>
      <c r="M107" s="9">
        <f t="shared" si="51"/>
        <v>187.5</v>
      </c>
      <c r="N107" s="9">
        <f t="shared" si="27"/>
        <v>2250</v>
      </c>
    </row>
    <row r="108" spans="1:14" x14ac:dyDescent="0.25">
      <c r="A108" s="3" t="s">
        <v>115</v>
      </c>
      <c r="B108" s="9">
        <f>166.63</f>
        <v>166.63</v>
      </c>
      <c r="C108" s="9">
        <f t="shared" ref="C108:M108" si="52">166.67</f>
        <v>166.67</v>
      </c>
      <c r="D108" s="9">
        <f t="shared" si="52"/>
        <v>166.67</v>
      </c>
      <c r="E108" s="9">
        <f t="shared" si="52"/>
        <v>166.67</v>
      </c>
      <c r="F108" s="9">
        <f t="shared" si="52"/>
        <v>166.67</v>
      </c>
      <c r="G108" s="9">
        <f t="shared" si="52"/>
        <v>166.67</v>
      </c>
      <c r="H108" s="9">
        <f t="shared" si="52"/>
        <v>166.67</v>
      </c>
      <c r="I108" s="9">
        <f t="shared" si="52"/>
        <v>166.67</v>
      </c>
      <c r="J108" s="9">
        <f t="shared" si="52"/>
        <v>166.67</v>
      </c>
      <c r="K108" s="9">
        <f t="shared" si="52"/>
        <v>166.67</v>
      </c>
      <c r="L108" s="9">
        <f t="shared" si="52"/>
        <v>166.67</v>
      </c>
      <c r="M108" s="9">
        <f t="shared" si="52"/>
        <v>166.67</v>
      </c>
      <c r="N108" s="9">
        <f t="shared" si="27"/>
        <v>2000.0000000000002</v>
      </c>
    </row>
    <row r="109" spans="1:14" x14ac:dyDescent="0.25">
      <c r="A109" s="3" t="s">
        <v>116</v>
      </c>
      <c r="B109" s="9">
        <f>56.63</f>
        <v>56.63</v>
      </c>
      <c r="C109" s="9">
        <f t="shared" ref="C109:M109" si="53">56.67</f>
        <v>56.67</v>
      </c>
      <c r="D109" s="9">
        <f t="shared" si="53"/>
        <v>56.67</v>
      </c>
      <c r="E109" s="9">
        <f t="shared" si="53"/>
        <v>56.67</v>
      </c>
      <c r="F109" s="9">
        <f t="shared" si="53"/>
        <v>56.67</v>
      </c>
      <c r="G109" s="9">
        <f t="shared" si="53"/>
        <v>56.67</v>
      </c>
      <c r="H109" s="9">
        <f t="shared" si="53"/>
        <v>56.67</v>
      </c>
      <c r="I109" s="9">
        <f t="shared" si="53"/>
        <v>56.67</v>
      </c>
      <c r="J109" s="9">
        <f t="shared" si="53"/>
        <v>56.67</v>
      </c>
      <c r="K109" s="9">
        <f t="shared" si="53"/>
        <v>56.67</v>
      </c>
      <c r="L109" s="9">
        <f t="shared" si="53"/>
        <v>56.67</v>
      </c>
      <c r="M109" s="9">
        <f t="shared" si="53"/>
        <v>56.67</v>
      </c>
      <c r="N109" s="9">
        <f t="shared" si="27"/>
        <v>680</v>
      </c>
    </row>
    <row r="110" spans="1:14" x14ac:dyDescent="0.25">
      <c r="A110" s="3" t="s">
        <v>117</v>
      </c>
      <c r="B110" s="9">
        <f>33.37</f>
        <v>33.369999999999997</v>
      </c>
      <c r="C110" s="9">
        <f t="shared" ref="C110:M110" si="54">33.33</f>
        <v>33.33</v>
      </c>
      <c r="D110" s="9">
        <f t="shared" si="54"/>
        <v>33.33</v>
      </c>
      <c r="E110" s="9">
        <f t="shared" si="54"/>
        <v>33.33</v>
      </c>
      <c r="F110" s="9">
        <f t="shared" si="54"/>
        <v>33.33</v>
      </c>
      <c r="G110" s="9">
        <f t="shared" si="54"/>
        <v>33.33</v>
      </c>
      <c r="H110" s="9">
        <f t="shared" si="54"/>
        <v>33.33</v>
      </c>
      <c r="I110" s="9">
        <f t="shared" si="54"/>
        <v>33.33</v>
      </c>
      <c r="J110" s="9">
        <f t="shared" si="54"/>
        <v>33.33</v>
      </c>
      <c r="K110" s="9">
        <f t="shared" si="54"/>
        <v>33.33</v>
      </c>
      <c r="L110" s="9">
        <f t="shared" si="54"/>
        <v>33.33</v>
      </c>
      <c r="M110" s="9">
        <f t="shared" si="54"/>
        <v>33.33</v>
      </c>
      <c r="N110" s="9">
        <f t="shared" si="27"/>
        <v>399.99999999999989</v>
      </c>
    </row>
    <row r="111" spans="1:14" x14ac:dyDescent="0.25">
      <c r="A111" s="3" t="s">
        <v>118</v>
      </c>
      <c r="B111" s="10">
        <f t="shared" ref="B111:M111" si="55">(((((((((((((((((((((((((((((((((B71)+(B72))+(B73))+(B74))+(B79))+(B80))+(B81))+(B82))+(B83))+(B84))+(B85))+(B86))+(B87))+(B88))+(B91))+(B92))+(B93))+(B94))+(B95))+(B96))+(B97))+(B98))+(B99))+(B100))+(B101))+(B102))+(B103))+(B104))+(B105))+(B106))+(B107))+(B108))+(B109))+(B110)</f>
        <v>60112.46</v>
      </c>
      <c r="C111" s="10">
        <f t="shared" si="55"/>
        <v>59647.76</v>
      </c>
      <c r="D111" s="10">
        <f t="shared" si="55"/>
        <v>59464.229999999996</v>
      </c>
      <c r="E111" s="10">
        <f t="shared" si="55"/>
        <v>60892.939999999995</v>
      </c>
      <c r="F111" s="10">
        <f t="shared" si="55"/>
        <v>61473.869999999995</v>
      </c>
      <c r="G111" s="10">
        <f t="shared" si="55"/>
        <v>60420</v>
      </c>
      <c r="H111" s="10">
        <f t="shared" si="55"/>
        <v>59555.89</v>
      </c>
      <c r="I111" s="10">
        <f t="shared" si="55"/>
        <v>59463.759999999995</v>
      </c>
      <c r="J111" s="10">
        <f t="shared" si="55"/>
        <v>59748.42</v>
      </c>
      <c r="K111" s="10">
        <f t="shared" si="55"/>
        <v>59733.119999999995</v>
      </c>
      <c r="L111" s="10">
        <f t="shared" si="55"/>
        <v>59374.28</v>
      </c>
      <c r="M111" s="10">
        <f t="shared" si="55"/>
        <v>59368.14</v>
      </c>
      <c r="N111" s="10">
        <f t="shared" si="27"/>
        <v>719254.87000000011</v>
      </c>
    </row>
    <row r="112" spans="1:14" x14ac:dyDescent="0.25">
      <c r="A112" s="3" t="s">
        <v>119</v>
      </c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9">
        <f t="shared" si="27"/>
        <v>0</v>
      </c>
    </row>
    <row r="113" spans="1:14" x14ac:dyDescent="0.25">
      <c r="A113" s="3" t="s">
        <v>120</v>
      </c>
      <c r="B113" s="9">
        <f>2997.11</f>
        <v>2997.11</v>
      </c>
      <c r="C113" s="9">
        <f t="shared" ref="C113:M113" si="56">2997.09</f>
        <v>2997.09</v>
      </c>
      <c r="D113" s="9">
        <f t="shared" si="56"/>
        <v>2997.09</v>
      </c>
      <c r="E113" s="9">
        <f t="shared" si="56"/>
        <v>2997.09</v>
      </c>
      <c r="F113" s="9">
        <f t="shared" si="56"/>
        <v>2997.09</v>
      </c>
      <c r="G113" s="9">
        <f t="shared" si="56"/>
        <v>2997.09</v>
      </c>
      <c r="H113" s="9">
        <f t="shared" si="56"/>
        <v>2997.09</v>
      </c>
      <c r="I113" s="9">
        <f t="shared" si="56"/>
        <v>2997.09</v>
      </c>
      <c r="J113" s="9">
        <f t="shared" si="56"/>
        <v>2997.09</v>
      </c>
      <c r="K113" s="9">
        <f t="shared" si="56"/>
        <v>2997.09</v>
      </c>
      <c r="L113" s="9">
        <f t="shared" si="56"/>
        <v>2997.09</v>
      </c>
      <c r="M113" s="9">
        <f t="shared" si="56"/>
        <v>2997.09</v>
      </c>
      <c r="N113" s="9">
        <f t="shared" si="27"/>
        <v>35965.100000000006</v>
      </c>
    </row>
    <row r="114" spans="1:14" x14ac:dyDescent="0.25">
      <c r="A114" s="3" t="s">
        <v>121</v>
      </c>
      <c r="B114" s="9">
        <f>1269.45</f>
        <v>1269.45</v>
      </c>
      <c r="C114" s="9">
        <f>912.95</f>
        <v>912.95</v>
      </c>
      <c r="D114" s="9">
        <f>771.57</f>
        <v>771.57</v>
      </c>
      <c r="E114" s="9">
        <f>1101.02</f>
        <v>1101.02</v>
      </c>
      <c r="F114" s="9">
        <f>779.73</f>
        <v>779.73</v>
      </c>
      <c r="G114" s="9">
        <f>1505.1</f>
        <v>1505.1</v>
      </c>
      <c r="H114" s="9">
        <f>842.62</f>
        <v>842.62</v>
      </c>
      <c r="I114" s="9">
        <f>771.98</f>
        <v>771.98</v>
      </c>
      <c r="J114" s="9">
        <f>990.22</f>
        <v>990.22</v>
      </c>
      <c r="K114" s="9">
        <f>978.49</f>
        <v>978.49</v>
      </c>
      <c r="L114" s="9">
        <f>703.38</f>
        <v>703.38</v>
      </c>
      <c r="M114" s="9">
        <f>698.64</f>
        <v>698.64</v>
      </c>
      <c r="N114" s="9">
        <f t="shared" si="27"/>
        <v>11325.149999999998</v>
      </c>
    </row>
    <row r="115" spans="1:14" x14ac:dyDescent="0.25">
      <c r="A115" s="3" t="s">
        <v>122</v>
      </c>
      <c r="B115" s="9">
        <f>125</f>
        <v>125</v>
      </c>
      <c r="C115" s="9">
        <f>125</f>
        <v>125</v>
      </c>
      <c r="D115" s="9">
        <f>125</f>
        <v>125</v>
      </c>
      <c r="E115" s="9">
        <f>125</f>
        <v>125</v>
      </c>
      <c r="F115" s="9">
        <f>125</f>
        <v>125</v>
      </c>
      <c r="G115" s="9">
        <f>125</f>
        <v>125</v>
      </c>
      <c r="H115" s="9">
        <f>125</f>
        <v>125</v>
      </c>
      <c r="I115" s="9">
        <f>125</f>
        <v>125</v>
      </c>
      <c r="J115" s="9">
        <f>125</f>
        <v>125</v>
      </c>
      <c r="K115" s="9">
        <f>125</f>
        <v>125</v>
      </c>
      <c r="L115" s="9">
        <f>125</f>
        <v>125</v>
      </c>
      <c r="M115" s="9">
        <f>125</f>
        <v>125</v>
      </c>
      <c r="N115" s="9">
        <f t="shared" si="27"/>
        <v>1500</v>
      </c>
    </row>
    <row r="116" spans="1:14" x14ac:dyDescent="0.25">
      <c r="A116" s="3" t="s">
        <v>123</v>
      </c>
      <c r="B116" s="9">
        <f>16.63</f>
        <v>16.63</v>
      </c>
      <c r="C116" s="9">
        <f t="shared" ref="C116:M116" si="57">16.67</f>
        <v>16.670000000000002</v>
      </c>
      <c r="D116" s="9">
        <f t="shared" si="57"/>
        <v>16.670000000000002</v>
      </c>
      <c r="E116" s="9">
        <f t="shared" si="57"/>
        <v>16.670000000000002</v>
      </c>
      <c r="F116" s="9">
        <f t="shared" si="57"/>
        <v>16.670000000000002</v>
      </c>
      <c r="G116" s="9">
        <f t="shared" si="57"/>
        <v>16.670000000000002</v>
      </c>
      <c r="H116" s="9">
        <f t="shared" si="57"/>
        <v>16.670000000000002</v>
      </c>
      <c r="I116" s="9">
        <f t="shared" si="57"/>
        <v>16.670000000000002</v>
      </c>
      <c r="J116" s="9">
        <f t="shared" si="57"/>
        <v>16.670000000000002</v>
      </c>
      <c r="K116" s="9">
        <f t="shared" si="57"/>
        <v>16.670000000000002</v>
      </c>
      <c r="L116" s="9">
        <f t="shared" si="57"/>
        <v>16.670000000000002</v>
      </c>
      <c r="M116" s="9">
        <f t="shared" si="57"/>
        <v>16.670000000000002</v>
      </c>
      <c r="N116" s="9">
        <f t="shared" si="27"/>
        <v>200.00000000000006</v>
      </c>
    </row>
    <row r="117" spans="1:14" x14ac:dyDescent="0.25">
      <c r="A117" s="3" t="s">
        <v>124</v>
      </c>
      <c r="B117" s="9">
        <f t="shared" ref="B117:M117" si="58">62.5</f>
        <v>62.5</v>
      </c>
      <c r="C117" s="9">
        <f t="shared" si="58"/>
        <v>62.5</v>
      </c>
      <c r="D117" s="9">
        <f t="shared" si="58"/>
        <v>62.5</v>
      </c>
      <c r="E117" s="9">
        <f t="shared" si="58"/>
        <v>62.5</v>
      </c>
      <c r="F117" s="9">
        <f t="shared" si="58"/>
        <v>62.5</v>
      </c>
      <c r="G117" s="9">
        <f t="shared" si="58"/>
        <v>62.5</v>
      </c>
      <c r="H117" s="9">
        <f t="shared" si="58"/>
        <v>62.5</v>
      </c>
      <c r="I117" s="9">
        <f t="shared" si="58"/>
        <v>62.5</v>
      </c>
      <c r="J117" s="9">
        <f t="shared" si="58"/>
        <v>62.5</v>
      </c>
      <c r="K117" s="9">
        <f t="shared" si="58"/>
        <v>62.5</v>
      </c>
      <c r="L117" s="9">
        <f t="shared" si="58"/>
        <v>62.5</v>
      </c>
      <c r="M117" s="9">
        <f t="shared" si="58"/>
        <v>62.5</v>
      </c>
      <c r="N117" s="9">
        <f t="shared" si="27"/>
        <v>750</v>
      </c>
    </row>
    <row r="118" spans="1:14" x14ac:dyDescent="0.25">
      <c r="A118" s="3" t="s">
        <v>125</v>
      </c>
      <c r="B118" s="9">
        <f>8.37</f>
        <v>8.3699999999999992</v>
      </c>
      <c r="C118" s="9">
        <f t="shared" ref="C118:M118" si="59">8.33</f>
        <v>8.33</v>
      </c>
      <c r="D118" s="9">
        <f t="shared" si="59"/>
        <v>8.33</v>
      </c>
      <c r="E118" s="9">
        <f t="shared" si="59"/>
        <v>8.33</v>
      </c>
      <c r="F118" s="9">
        <f t="shared" si="59"/>
        <v>8.33</v>
      </c>
      <c r="G118" s="9">
        <f t="shared" si="59"/>
        <v>8.33</v>
      </c>
      <c r="H118" s="9">
        <f t="shared" si="59"/>
        <v>8.33</v>
      </c>
      <c r="I118" s="9">
        <f t="shared" si="59"/>
        <v>8.33</v>
      </c>
      <c r="J118" s="9">
        <f t="shared" si="59"/>
        <v>8.33</v>
      </c>
      <c r="K118" s="9">
        <f t="shared" si="59"/>
        <v>8.33</v>
      </c>
      <c r="L118" s="9">
        <f t="shared" si="59"/>
        <v>8.33</v>
      </c>
      <c r="M118" s="9">
        <f t="shared" si="59"/>
        <v>8.33</v>
      </c>
      <c r="N118" s="9">
        <f t="shared" si="27"/>
        <v>99.999999999999986</v>
      </c>
    </row>
    <row r="119" spans="1:14" x14ac:dyDescent="0.25">
      <c r="A119" s="3" t="s">
        <v>126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9">
        <f t="shared" si="27"/>
        <v>0</v>
      </c>
    </row>
    <row r="120" spans="1:14" x14ac:dyDescent="0.25">
      <c r="A120" s="3" t="s">
        <v>127</v>
      </c>
      <c r="B120" s="9">
        <f>6928.27</f>
        <v>6928.27</v>
      </c>
      <c r="C120" s="9">
        <f>6928.31</f>
        <v>6928.31</v>
      </c>
      <c r="D120" s="9">
        <f t="shared" ref="D120:M120" si="60">6928.27</f>
        <v>6928.27</v>
      </c>
      <c r="E120" s="9">
        <f t="shared" si="60"/>
        <v>6928.27</v>
      </c>
      <c r="F120" s="9">
        <f t="shared" si="60"/>
        <v>6928.27</v>
      </c>
      <c r="G120" s="9">
        <f t="shared" si="60"/>
        <v>6928.27</v>
      </c>
      <c r="H120" s="9">
        <f t="shared" si="60"/>
        <v>6928.27</v>
      </c>
      <c r="I120" s="9">
        <f t="shared" si="60"/>
        <v>6928.27</v>
      </c>
      <c r="J120" s="9">
        <f t="shared" si="60"/>
        <v>6928.27</v>
      </c>
      <c r="K120" s="9">
        <f t="shared" si="60"/>
        <v>6928.27</v>
      </c>
      <c r="L120" s="9">
        <f t="shared" si="60"/>
        <v>6928.27</v>
      </c>
      <c r="M120" s="9">
        <f t="shared" si="60"/>
        <v>6928.27</v>
      </c>
      <c r="N120" s="9">
        <f t="shared" si="27"/>
        <v>83139.280000000028</v>
      </c>
    </row>
    <row r="121" spans="1:14" x14ac:dyDescent="0.25">
      <c r="A121" s="3" t="s">
        <v>128</v>
      </c>
      <c r="B121" s="9">
        <f>390</f>
        <v>390</v>
      </c>
      <c r="C121" s="9">
        <f>390</f>
        <v>390</v>
      </c>
      <c r="D121" s="9">
        <f>390</f>
        <v>390</v>
      </c>
      <c r="E121" s="9">
        <f>390</f>
        <v>390</v>
      </c>
      <c r="F121" s="9">
        <f>390</f>
        <v>390</v>
      </c>
      <c r="G121" s="9">
        <f>390</f>
        <v>390</v>
      </c>
      <c r="H121" s="9">
        <f>390</f>
        <v>390</v>
      </c>
      <c r="I121" s="9">
        <f>390</f>
        <v>390</v>
      </c>
      <c r="J121" s="9">
        <f>390</f>
        <v>390</v>
      </c>
      <c r="K121" s="9">
        <f>390</f>
        <v>390</v>
      </c>
      <c r="L121" s="9">
        <f>390</f>
        <v>390</v>
      </c>
      <c r="M121" s="9">
        <f>390</f>
        <v>390</v>
      </c>
      <c r="N121" s="9">
        <f t="shared" si="27"/>
        <v>4680</v>
      </c>
    </row>
    <row r="122" spans="1:14" x14ac:dyDescent="0.25">
      <c r="A122" s="3" t="s">
        <v>129</v>
      </c>
      <c r="B122" s="9">
        <f>658.14</f>
        <v>658.14</v>
      </c>
      <c r="C122" s="9">
        <f t="shared" ref="C122:M122" si="61">658.19</f>
        <v>658.19</v>
      </c>
      <c r="D122" s="9">
        <f t="shared" si="61"/>
        <v>658.19</v>
      </c>
      <c r="E122" s="9">
        <f t="shared" si="61"/>
        <v>658.19</v>
      </c>
      <c r="F122" s="9">
        <f t="shared" si="61"/>
        <v>658.19</v>
      </c>
      <c r="G122" s="9">
        <f t="shared" si="61"/>
        <v>658.19</v>
      </c>
      <c r="H122" s="9">
        <f t="shared" si="61"/>
        <v>658.19</v>
      </c>
      <c r="I122" s="9">
        <f t="shared" si="61"/>
        <v>658.19</v>
      </c>
      <c r="J122" s="9">
        <f t="shared" si="61"/>
        <v>658.19</v>
      </c>
      <c r="K122" s="9">
        <f t="shared" si="61"/>
        <v>658.19</v>
      </c>
      <c r="L122" s="9">
        <f t="shared" si="61"/>
        <v>658.19</v>
      </c>
      <c r="M122" s="9">
        <f t="shared" si="61"/>
        <v>658.19</v>
      </c>
      <c r="N122" s="9">
        <f t="shared" si="27"/>
        <v>7898.2300000000032</v>
      </c>
    </row>
    <row r="123" spans="1:14" x14ac:dyDescent="0.25">
      <c r="A123" s="3" t="s">
        <v>130</v>
      </c>
      <c r="B123" s="10">
        <f t="shared" ref="B123:M123" si="62">(((B119)+(B120))+(B121))+(B122)</f>
        <v>7976.4100000000008</v>
      </c>
      <c r="C123" s="10">
        <f t="shared" si="62"/>
        <v>7976.5</v>
      </c>
      <c r="D123" s="10">
        <f t="shared" si="62"/>
        <v>7976.4600000000009</v>
      </c>
      <c r="E123" s="10">
        <f t="shared" si="62"/>
        <v>7976.4600000000009</v>
      </c>
      <c r="F123" s="10">
        <f t="shared" si="62"/>
        <v>7976.4600000000009</v>
      </c>
      <c r="G123" s="10">
        <f t="shared" si="62"/>
        <v>7976.4600000000009</v>
      </c>
      <c r="H123" s="10">
        <f t="shared" si="62"/>
        <v>7976.4600000000009</v>
      </c>
      <c r="I123" s="10">
        <f t="shared" si="62"/>
        <v>7976.4600000000009</v>
      </c>
      <c r="J123" s="10">
        <f t="shared" si="62"/>
        <v>7976.4600000000009</v>
      </c>
      <c r="K123" s="10">
        <f t="shared" si="62"/>
        <v>7976.4600000000009</v>
      </c>
      <c r="L123" s="10">
        <f t="shared" si="62"/>
        <v>7976.4600000000009</v>
      </c>
      <c r="M123" s="10">
        <f t="shared" si="62"/>
        <v>7976.4600000000009</v>
      </c>
      <c r="N123" s="10">
        <f t="shared" si="27"/>
        <v>95717.510000000024</v>
      </c>
    </row>
    <row r="124" spans="1:14" x14ac:dyDescent="0.25">
      <c r="A124" s="3" t="s">
        <v>131</v>
      </c>
      <c r="B124" s="9">
        <f>14.62</f>
        <v>14.62</v>
      </c>
      <c r="C124" s="9">
        <f t="shared" ref="C124:M124" si="63">14.58</f>
        <v>14.58</v>
      </c>
      <c r="D124" s="9">
        <f t="shared" si="63"/>
        <v>14.58</v>
      </c>
      <c r="E124" s="9">
        <f t="shared" si="63"/>
        <v>14.58</v>
      </c>
      <c r="F124" s="9">
        <f t="shared" si="63"/>
        <v>14.58</v>
      </c>
      <c r="G124" s="9">
        <f t="shared" si="63"/>
        <v>14.58</v>
      </c>
      <c r="H124" s="9">
        <f t="shared" si="63"/>
        <v>14.58</v>
      </c>
      <c r="I124" s="9">
        <f t="shared" si="63"/>
        <v>14.58</v>
      </c>
      <c r="J124" s="9">
        <f t="shared" si="63"/>
        <v>14.58</v>
      </c>
      <c r="K124" s="9">
        <f t="shared" si="63"/>
        <v>14.58</v>
      </c>
      <c r="L124" s="9">
        <f t="shared" si="63"/>
        <v>14.58</v>
      </c>
      <c r="M124" s="9">
        <f t="shared" si="63"/>
        <v>14.58</v>
      </c>
      <c r="N124" s="9">
        <f t="shared" si="27"/>
        <v>175.00000000000003</v>
      </c>
    </row>
    <row r="125" spans="1:14" x14ac:dyDescent="0.25">
      <c r="A125" s="3" t="s">
        <v>132</v>
      </c>
      <c r="B125" s="9">
        <f>833.33</f>
        <v>833.33</v>
      </c>
      <c r="C125" s="9">
        <f>833.37</f>
        <v>833.37</v>
      </c>
      <c r="D125" s="9">
        <f t="shared" ref="D125:M125" si="64">833.33</f>
        <v>833.33</v>
      </c>
      <c r="E125" s="9">
        <f t="shared" si="64"/>
        <v>833.33</v>
      </c>
      <c r="F125" s="9">
        <f t="shared" si="64"/>
        <v>833.33</v>
      </c>
      <c r="G125" s="9">
        <f t="shared" si="64"/>
        <v>833.33</v>
      </c>
      <c r="H125" s="9">
        <f t="shared" si="64"/>
        <v>833.33</v>
      </c>
      <c r="I125" s="9">
        <f t="shared" si="64"/>
        <v>833.33</v>
      </c>
      <c r="J125" s="9">
        <f t="shared" si="64"/>
        <v>833.33</v>
      </c>
      <c r="K125" s="9">
        <f t="shared" si="64"/>
        <v>833.33</v>
      </c>
      <c r="L125" s="9">
        <f t="shared" si="64"/>
        <v>833.33</v>
      </c>
      <c r="M125" s="9">
        <f t="shared" si="64"/>
        <v>833.33</v>
      </c>
      <c r="N125" s="9">
        <f t="shared" si="27"/>
        <v>10000</v>
      </c>
    </row>
    <row r="126" spans="1:14" x14ac:dyDescent="0.25">
      <c r="A126" s="3" t="s">
        <v>133</v>
      </c>
      <c r="B126" s="9">
        <f t="shared" ref="B126:M126" si="65">2252.5</f>
        <v>2252.5</v>
      </c>
      <c r="C126" s="9">
        <f t="shared" si="65"/>
        <v>2252.5</v>
      </c>
      <c r="D126" s="9">
        <f t="shared" si="65"/>
        <v>2252.5</v>
      </c>
      <c r="E126" s="9">
        <f t="shared" si="65"/>
        <v>2252.5</v>
      </c>
      <c r="F126" s="9">
        <f t="shared" si="65"/>
        <v>2252.5</v>
      </c>
      <c r="G126" s="9">
        <f t="shared" si="65"/>
        <v>2252.5</v>
      </c>
      <c r="H126" s="9">
        <f t="shared" si="65"/>
        <v>2252.5</v>
      </c>
      <c r="I126" s="9">
        <f t="shared" si="65"/>
        <v>2252.5</v>
      </c>
      <c r="J126" s="9">
        <f t="shared" si="65"/>
        <v>2252.5</v>
      </c>
      <c r="K126" s="9">
        <f t="shared" si="65"/>
        <v>2252.5</v>
      </c>
      <c r="L126" s="9">
        <f t="shared" si="65"/>
        <v>2252.5</v>
      </c>
      <c r="M126" s="9">
        <f t="shared" si="65"/>
        <v>2252.5</v>
      </c>
      <c r="N126" s="9">
        <f t="shared" si="27"/>
        <v>27030</v>
      </c>
    </row>
    <row r="127" spans="1:14" x14ac:dyDescent="0.25">
      <c r="A127" s="3" t="s">
        <v>134</v>
      </c>
      <c r="B127" s="9">
        <f>1125</f>
        <v>1125</v>
      </c>
      <c r="C127" s="9">
        <f>1125</f>
        <v>1125</v>
      </c>
      <c r="D127" s="9">
        <f>1125</f>
        <v>1125</v>
      </c>
      <c r="E127" s="9">
        <f>1125</f>
        <v>1125</v>
      </c>
      <c r="F127" s="9">
        <f>1125</f>
        <v>1125</v>
      </c>
      <c r="G127" s="9">
        <f>1125</f>
        <v>1125</v>
      </c>
      <c r="H127" s="9">
        <f>1125</f>
        <v>1125</v>
      </c>
      <c r="I127" s="9">
        <f>1125</f>
        <v>1125</v>
      </c>
      <c r="J127" s="9">
        <f>1125</f>
        <v>1125</v>
      </c>
      <c r="K127" s="9">
        <f>1125</f>
        <v>1125</v>
      </c>
      <c r="L127" s="9">
        <f>1125</f>
        <v>1125</v>
      </c>
      <c r="M127" s="9">
        <f>1125</f>
        <v>1125</v>
      </c>
      <c r="N127" s="9">
        <f t="shared" si="27"/>
        <v>13500</v>
      </c>
    </row>
    <row r="128" spans="1:14" x14ac:dyDescent="0.25">
      <c r="A128" s="3" t="s">
        <v>135</v>
      </c>
      <c r="B128" s="9">
        <f>250</f>
        <v>250</v>
      </c>
      <c r="C128" s="9">
        <f>250</f>
        <v>250</v>
      </c>
      <c r="D128" s="9">
        <f>250</f>
        <v>250</v>
      </c>
      <c r="E128" s="9">
        <f>250</f>
        <v>250</v>
      </c>
      <c r="F128" s="9">
        <f>250</f>
        <v>250</v>
      </c>
      <c r="G128" s="9">
        <f>250</f>
        <v>250</v>
      </c>
      <c r="H128" s="9">
        <f>250</f>
        <v>250</v>
      </c>
      <c r="I128" s="9">
        <f>250</f>
        <v>250</v>
      </c>
      <c r="J128" s="9">
        <f>250</f>
        <v>250</v>
      </c>
      <c r="K128" s="9">
        <f>250</f>
        <v>250</v>
      </c>
      <c r="L128" s="9">
        <f>250</f>
        <v>250</v>
      </c>
      <c r="M128" s="9">
        <f>250</f>
        <v>250</v>
      </c>
      <c r="N128" s="9">
        <f t="shared" si="27"/>
        <v>3000</v>
      </c>
    </row>
    <row r="129" spans="1:14" x14ac:dyDescent="0.25">
      <c r="A129" s="3" t="s">
        <v>136</v>
      </c>
      <c r="B129" s="9">
        <f>30</f>
        <v>30</v>
      </c>
      <c r="C129" s="9">
        <f>30</f>
        <v>30</v>
      </c>
      <c r="D129" s="9">
        <f>30</f>
        <v>30</v>
      </c>
      <c r="E129" s="9">
        <f>30</f>
        <v>30</v>
      </c>
      <c r="F129" s="9">
        <f>30</f>
        <v>30</v>
      </c>
      <c r="G129" s="9">
        <f>30</f>
        <v>30</v>
      </c>
      <c r="H129" s="9">
        <f>30</f>
        <v>30</v>
      </c>
      <c r="I129" s="9">
        <f>30</f>
        <v>30</v>
      </c>
      <c r="J129" s="9">
        <f>30</f>
        <v>30</v>
      </c>
      <c r="K129" s="9">
        <f>30</f>
        <v>30</v>
      </c>
      <c r="L129" s="9">
        <f>30</f>
        <v>30</v>
      </c>
      <c r="M129" s="9">
        <f>30</f>
        <v>30</v>
      </c>
      <c r="N129" s="9">
        <f t="shared" si="27"/>
        <v>360</v>
      </c>
    </row>
    <row r="130" spans="1:14" x14ac:dyDescent="0.25">
      <c r="A130" s="3" t="s">
        <v>137</v>
      </c>
      <c r="B130" s="9">
        <f>283.33</f>
        <v>283.33</v>
      </c>
      <c r="C130" s="9">
        <f>283.37</f>
        <v>283.37</v>
      </c>
      <c r="D130" s="9">
        <f t="shared" ref="D130:M130" si="66">283.33</f>
        <v>283.33</v>
      </c>
      <c r="E130" s="9">
        <f t="shared" si="66"/>
        <v>283.33</v>
      </c>
      <c r="F130" s="9">
        <f t="shared" si="66"/>
        <v>283.33</v>
      </c>
      <c r="G130" s="9">
        <f t="shared" si="66"/>
        <v>283.33</v>
      </c>
      <c r="H130" s="9">
        <f t="shared" si="66"/>
        <v>283.33</v>
      </c>
      <c r="I130" s="9">
        <f t="shared" si="66"/>
        <v>283.33</v>
      </c>
      <c r="J130" s="9">
        <f t="shared" si="66"/>
        <v>283.33</v>
      </c>
      <c r="K130" s="9">
        <f t="shared" si="66"/>
        <v>283.33</v>
      </c>
      <c r="L130" s="9">
        <f t="shared" si="66"/>
        <v>283.33</v>
      </c>
      <c r="M130" s="9">
        <f t="shared" si="66"/>
        <v>283.33</v>
      </c>
      <c r="N130" s="9">
        <f t="shared" si="27"/>
        <v>3399.9999999999995</v>
      </c>
    </row>
    <row r="131" spans="1:14" x14ac:dyDescent="0.25">
      <c r="A131" s="3" t="s">
        <v>138</v>
      </c>
      <c r="B131" s="9">
        <f>2916.63</f>
        <v>2916.63</v>
      </c>
      <c r="C131" s="9">
        <f t="shared" ref="C131:M131" si="67">2916.67</f>
        <v>2916.67</v>
      </c>
      <c r="D131" s="9">
        <f t="shared" si="67"/>
        <v>2916.67</v>
      </c>
      <c r="E131" s="9">
        <f t="shared" si="67"/>
        <v>2916.67</v>
      </c>
      <c r="F131" s="9">
        <f t="shared" si="67"/>
        <v>2916.67</v>
      </c>
      <c r="G131" s="9">
        <f t="shared" si="67"/>
        <v>2916.67</v>
      </c>
      <c r="H131" s="9">
        <f t="shared" si="67"/>
        <v>2916.67</v>
      </c>
      <c r="I131" s="9">
        <f t="shared" si="67"/>
        <v>2916.67</v>
      </c>
      <c r="J131" s="9">
        <f t="shared" si="67"/>
        <v>2916.67</v>
      </c>
      <c r="K131" s="9">
        <f t="shared" si="67"/>
        <v>2916.67</v>
      </c>
      <c r="L131" s="9">
        <f t="shared" si="67"/>
        <v>2916.67</v>
      </c>
      <c r="M131" s="9">
        <f t="shared" si="67"/>
        <v>2916.67</v>
      </c>
      <c r="N131" s="9">
        <f t="shared" si="27"/>
        <v>34999.999999999993</v>
      </c>
    </row>
    <row r="132" spans="1:14" x14ac:dyDescent="0.25">
      <c r="A132" s="3" t="s">
        <v>139</v>
      </c>
      <c r="B132" s="9">
        <f>720.87</f>
        <v>720.87</v>
      </c>
      <c r="C132" s="9">
        <f t="shared" ref="C132:M132" si="68">720.83</f>
        <v>720.83</v>
      </c>
      <c r="D132" s="9">
        <f t="shared" si="68"/>
        <v>720.83</v>
      </c>
      <c r="E132" s="9">
        <f t="shared" si="68"/>
        <v>720.83</v>
      </c>
      <c r="F132" s="9">
        <f t="shared" si="68"/>
        <v>720.83</v>
      </c>
      <c r="G132" s="9">
        <f t="shared" si="68"/>
        <v>720.83</v>
      </c>
      <c r="H132" s="9">
        <f t="shared" si="68"/>
        <v>720.83</v>
      </c>
      <c r="I132" s="9">
        <f t="shared" si="68"/>
        <v>720.83</v>
      </c>
      <c r="J132" s="9">
        <f t="shared" si="68"/>
        <v>720.83</v>
      </c>
      <c r="K132" s="9">
        <f t="shared" si="68"/>
        <v>720.83</v>
      </c>
      <c r="L132" s="9">
        <f t="shared" si="68"/>
        <v>720.83</v>
      </c>
      <c r="M132" s="9">
        <f t="shared" si="68"/>
        <v>720.83</v>
      </c>
      <c r="N132" s="9">
        <f t="shared" si="27"/>
        <v>8650</v>
      </c>
    </row>
    <row r="133" spans="1:14" x14ac:dyDescent="0.25">
      <c r="A133" s="3" t="s">
        <v>140</v>
      </c>
      <c r="B133" s="10">
        <f t="shared" ref="B133:M133" si="69">(B131)+(B132)</f>
        <v>3637.5</v>
      </c>
      <c r="C133" s="10">
        <f t="shared" si="69"/>
        <v>3637.5</v>
      </c>
      <c r="D133" s="10">
        <f t="shared" si="69"/>
        <v>3637.5</v>
      </c>
      <c r="E133" s="10">
        <f t="shared" si="69"/>
        <v>3637.5</v>
      </c>
      <c r="F133" s="10">
        <f t="shared" si="69"/>
        <v>3637.5</v>
      </c>
      <c r="G133" s="10">
        <f t="shared" si="69"/>
        <v>3637.5</v>
      </c>
      <c r="H133" s="10">
        <f t="shared" si="69"/>
        <v>3637.5</v>
      </c>
      <c r="I133" s="10">
        <f t="shared" si="69"/>
        <v>3637.5</v>
      </c>
      <c r="J133" s="10">
        <f t="shared" si="69"/>
        <v>3637.5</v>
      </c>
      <c r="K133" s="10">
        <f t="shared" si="69"/>
        <v>3637.5</v>
      </c>
      <c r="L133" s="10">
        <f t="shared" si="69"/>
        <v>3637.5</v>
      </c>
      <c r="M133" s="10">
        <f t="shared" si="69"/>
        <v>3637.5</v>
      </c>
      <c r="N133" s="10">
        <f t="shared" si="27"/>
        <v>43650</v>
      </c>
    </row>
    <row r="134" spans="1:14" x14ac:dyDescent="0.25">
      <c r="A134" s="3" t="s">
        <v>141</v>
      </c>
      <c r="B134" s="9">
        <f>83.37</f>
        <v>83.37</v>
      </c>
      <c r="C134" s="9">
        <f t="shared" ref="C134:M134" si="70">83.33</f>
        <v>83.33</v>
      </c>
      <c r="D134" s="9">
        <f t="shared" si="70"/>
        <v>83.33</v>
      </c>
      <c r="E134" s="9">
        <f t="shared" si="70"/>
        <v>83.33</v>
      </c>
      <c r="F134" s="9">
        <f t="shared" si="70"/>
        <v>83.33</v>
      </c>
      <c r="G134" s="9">
        <f t="shared" si="70"/>
        <v>83.33</v>
      </c>
      <c r="H134" s="9">
        <f t="shared" si="70"/>
        <v>83.33</v>
      </c>
      <c r="I134" s="9">
        <f t="shared" si="70"/>
        <v>83.33</v>
      </c>
      <c r="J134" s="9">
        <f t="shared" si="70"/>
        <v>83.33</v>
      </c>
      <c r="K134" s="9">
        <f t="shared" si="70"/>
        <v>83.33</v>
      </c>
      <c r="L134" s="9">
        <f t="shared" si="70"/>
        <v>83.33</v>
      </c>
      <c r="M134" s="9">
        <f t="shared" si="70"/>
        <v>83.33</v>
      </c>
      <c r="N134" s="9">
        <f t="shared" si="27"/>
        <v>1000.0000000000001</v>
      </c>
    </row>
    <row r="135" spans="1:14" x14ac:dyDescent="0.25">
      <c r="A135" s="3" t="s">
        <v>142</v>
      </c>
      <c r="B135" s="9">
        <f>208.37</f>
        <v>208.37</v>
      </c>
      <c r="C135" s="9">
        <f t="shared" ref="C135:M135" si="71">208.33</f>
        <v>208.33</v>
      </c>
      <c r="D135" s="9">
        <f t="shared" si="71"/>
        <v>208.33</v>
      </c>
      <c r="E135" s="9">
        <f t="shared" si="71"/>
        <v>208.33</v>
      </c>
      <c r="F135" s="9">
        <f t="shared" si="71"/>
        <v>208.33</v>
      </c>
      <c r="G135" s="9">
        <f t="shared" si="71"/>
        <v>208.33</v>
      </c>
      <c r="H135" s="9">
        <f t="shared" si="71"/>
        <v>208.33</v>
      </c>
      <c r="I135" s="9">
        <f t="shared" si="71"/>
        <v>208.33</v>
      </c>
      <c r="J135" s="9">
        <f t="shared" si="71"/>
        <v>208.33</v>
      </c>
      <c r="K135" s="9">
        <f t="shared" si="71"/>
        <v>208.33</v>
      </c>
      <c r="L135" s="9">
        <f t="shared" si="71"/>
        <v>208.33</v>
      </c>
      <c r="M135" s="9">
        <f t="shared" si="71"/>
        <v>208.33</v>
      </c>
      <c r="N135" s="9">
        <f t="shared" ref="N135:N198" si="72">(((((((((((B135)+(C135))+(D135))+(E135))+(F135))+(G135))+(H135))+(I135))+(J135))+(K135))+(L135))+(M135)</f>
        <v>2499.9999999999995</v>
      </c>
    </row>
    <row r="136" spans="1:14" x14ac:dyDescent="0.25">
      <c r="A136" s="3" t="s">
        <v>143</v>
      </c>
      <c r="B136" s="9">
        <f>333.37</f>
        <v>333.37</v>
      </c>
      <c r="C136" s="9">
        <f t="shared" ref="C136:M136" si="73">333.33</f>
        <v>333.33</v>
      </c>
      <c r="D136" s="9">
        <f t="shared" si="73"/>
        <v>333.33</v>
      </c>
      <c r="E136" s="9">
        <f t="shared" si="73"/>
        <v>333.33</v>
      </c>
      <c r="F136" s="9">
        <f t="shared" si="73"/>
        <v>333.33</v>
      </c>
      <c r="G136" s="9">
        <f t="shared" si="73"/>
        <v>333.33</v>
      </c>
      <c r="H136" s="9">
        <f t="shared" si="73"/>
        <v>333.33</v>
      </c>
      <c r="I136" s="9">
        <f t="shared" si="73"/>
        <v>333.33</v>
      </c>
      <c r="J136" s="9">
        <f t="shared" si="73"/>
        <v>333.33</v>
      </c>
      <c r="K136" s="9">
        <f t="shared" si="73"/>
        <v>333.33</v>
      </c>
      <c r="L136" s="9">
        <f t="shared" si="73"/>
        <v>333.33</v>
      </c>
      <c r="M136" s="9">
        <f t="shared" si="73"/>
        <v>333.33</v>
      </c>
      <c r="N136" s="9">
        <f t="shared" si="72"/>
        <v>3999.9999999999995</v>
      </c>
    </row>
    <row r="137" spans="1:14" x14ac:dyDescent="0.25">
      <c r="A137" s="3" t="s">
        <v>144</v>
      </c>
      <c r="B137" s="9">
        <f>8.37</f>
        <v>8.3699999999999992</v>
      </c>
      <c r="C137" s="9">
        <f t="shared" ref="C137:M137" si="74">8.33</f>
        <v>8.33</v>
      </c>
      <c r="D137" s="9">
        <f t="shared" si="74"/>
        <v>8.33</v>
      </c>
      <c r="E137" s="9">
        <f t="shared" si="74"/>
        <v>8.33</v>
      </c>
      <c r="F137" s="9">
        <f t="shared" si="74"/>
        <v>8.33</v>
      </c>
      <c r="G137" s="9">
        <f t="shared" si="74"/>
        <v>8.33</v>
      </c>
      <c r="H137" s="9">
        <f t="shared" si="74"/>
        <v>8.33</v>
      </c>
      <c r="I137" s="9">
        <f t="shared" si="74"/>
        <v>8.33</v>
      </c>
      <c r="J137" s="9">
        <f t="shared" si="74"/>
        <v>8.33</v>
      </c>
      <c r="K137" s="9">
        <f t="shared" si="74"/>
        <v>8.33</v>
      </c>
      <c r="L137" s="9">
        <f t="shared" si="74"/>
        <v>8.33</v>
      </c>
      <c r="M137" s="9">
        <f t="shared" si="74"/>
        <v>8.33</v>
      </c>
      <c r="N137" s="9">
        <f t="shared" si="72"/>
        <v>99.999999999999986</v>
      </c>
    </row>
    <row r="138" spans="1:14" x14ac:dyDescent="0.25">
      <c r="A138" s="3" t="s">
        <v>145</v>
      </c>
      <c r="B138" s="9">
        <f>583.37</f>
        <v>583.37</v>
      </c>
      <c r="C138" s="9">
        <f t="shared" ref="C138:M138" si="75">583.33</f>
        <v>583.33000000000004</v>
      </c>
      <c r="D138" s="9">
        <f t="shared" si="75"/>
        <v>583.33000000000004</v>
      </c>
      <c r="E138" s="9">
        <f t="shared" si="75"/>
        <v>583.33000000000004</v>
      </c>
      <c r="F138" s="9">
        <f t="shared" si="75"/>
        <v>583.33000000000004</v>
      </c>
      <c r="G138" s="9">
        <f t="shared" si="75"/>
        <v>583.33000000000004</v>
      </c>
      <c r="H138" s="9">
        <f t="shared" si="75"/>
        <v>583.33000000000004</v>
      </c>
      <c r="I138" s="9">
        <f t="shared" si="75"/>
        <v>583.33000000000004</v>
      </c>
      <c r="J138" s="9">
        <f t="shared" si="75"/>
        <v>583.33000000000004</v>
      </c>
      <c r="K138" s="9">
        <f t="shared" si="75"/>
        <v>583.33000000000004</v>
      </c>
      <c r="L138" s="9">
        <f t="shared" si="75"/>
        <v>583.33000000000004</v>
      </c>
      <c r="M138" s="9">
        <f t="shared" si="75"/>
        <v>583.33000000000004</v>
      </c>
      <c r="N138" s="9">
        <f t="shared" si="72"/>
        <v>7000</v>
      </c>
    </row>
    <row r="139" spans="1:14" x14ac:dyDescent="0.25">
      <c r="A139" s="3" t="s">
        <v>146</v>
      </c>
      <c r="B139" s="10">
        <f t="shared" ref="B139:M139" si="76">((((((((((((((((((((B112)+(B113))+(B114))+(B115))+(B116))+(B117))+(B118))+(B123))+(B124))+(B125))+(B126))+(B127))+(B128))+(B129))+(B130))+(B133))+(B134))+(B135))+(B136))+(B137))+(B138)</f>
        <v>22098.6</v>
      </c>
      <c r="C139" s="10">
        <f t="shared" si="76"/>
        <v>21742.010000000009</v>
      </c>
      <c r="D139" s="10">
        <f t="shared" si="76"/>
        <v>21600.510000000009</v>
      </c>
      <c r="E139" s="10">
        <f t="shared" si="76"/>
        <v>21929.960000000014</v>
      </c>
      <c r="F139" s="10">
        <f t="shared" si="76"/>
        <v>21608.670000000013</v>
      </c>
      <c r="G139" s="10">
        <f t="shared" si="76"/>
        <v>22334.040000000012</v>
      </c>
      <c r="H139" s="10">
        <f t="shared" si="76"/>
        <v>21671.560000000012</v>
      </c>
      <c r="I139" s="10">
        <f t="shared" si="76"/>
        <v>21600.920000000013</v>
      </c>
      <c r="J139" s="10">
        <f t="shared" si="76"/>
        <v>21819.160000000011</v>
      </c>
      <c r="K139" s="10">
        <f t="shared" si="76"/>
        <v>21807.430000000011</v>
      </c>
      <c r="L139" s="10">
        <f t="shared" si="76"/>
        <v>21532.320000000011</v>
      </c>
      <c r="M139" s="10">
        <f t="shared" si="76"/>
        <v>21527.580000000009</v>
      </c>
      <c r="N139" s="10">
        <f t="shared" si="72"/>
        <v>261272.76000000015</v>
      </c>
    </row>
    <row r="140" spans="1:14" x14ac:dyDescent="0.25">
      <c r="A140" s="3" t="s">
        <v>147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9">
        <f t="shared" si="72"/>
        <v>0</v>
      </c>
    </row>
    <row r="141" spans="1:14" x14ac:dyDescent="0.25">
      <c r="A141" s="3" t="s">
        <v>148</v>
      </c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9">
        <f t="shared" si="72"/>
        <v>0</v>
      </c>
    </row>
    <row r="142" spans="1:14" x14ac:dyDescent="0.25">
      <c r="A142" s="3" t="s">
        <v>149</v>
      </c>
      <c r="B142" s="9">
        <f>4859.38</f>
        <v>4859.38</v>
      </c>
      <c r="C142" s="9">
        <f t="shared" ref="C142:M142" si="77">4859.42</f>
        <v>4859.42</v>
      </c>
      <c r="D142" s="9">
        <f t="shared" si="77"/>
        <v>4859.42</v>
      </c>
      <c r="E142" s="9">
        <f t="shared" si="77"/>
        <v>4859.42</v>
      </c>
      <c r="F142" s="9">
        <f t="shared" si="77"/>
        <v>4859.42</v>
      </c>
      <c r="G142" s="9">
        <f t="shared" si="77"/>
        <v>4859.42</v>
      </c>
      <c r="H142" s="9">
        <f t="shared" si="77"/>
        <v>4859.42</v>
      </c>
      <c r="I142" s="9">
        <f t="shared" si="77"/>
        <v>4859.42</v>
      </c>
      <c r="J142" s="9">
        <f t="shared" si="77"/>
        <v>4859.42</v>
      </c>
      <c r="K142" s="9">
        <f t="shared" si="77"/>
        <v>4859.42</v>
      </c>
      <c r="L142" s="9">
        <f t="shared" si="77"/>
        <v>4859.42</v>
      </c>
      <c r="M142" s="9">
        <f t="shared" si="77"/>
        <v>4859.42</v>
      </c>
      <c r="N142" s="9">
        <f t="shared" si="72"/>
        <v>58312.999999999985</v>
      </c>
    </row>
    <row r="143" spans="1:14" x14ac:dyDescent="0.25">
      <c r="A143" s="3" t="s">
        <v>150</v>
      </c>
      <c r="B143" s="9">
        <f>5166.13</f>
        <v>5166.13</v>
      </c>
      <c r="C143" s="9">
        <f>3715.32</f>
        <v>3715.32</v>
      </c>
      <c r="D143" s="9">
        <f>3139.97</f>
        <v>3139.97</v>
      </c>
      <c r="E143" s="9">
        <f>4480.66</f>
        <v>4480.66</v>
      </c>
      <c r="F143" s="9">
        <f>3173.16</f>
        <v>3173.16</v>
      </c>
      <c r="G143" s="9">
        <f>6125.09</f>
        <v>6125.09</v>
      </c>
      <c r="H143" s="9">
        <f>3429.08</f>
        <v>3429.08</v>
      </c>
      <c r="I143" s="9">
        <f>3141.62</f>
        <v>3141.62</v>
      </c>
      <c r="J143" s="9">
        <f>4029.75</f>
        <v>4029.75</v>
      </c>
      <c r="K143" s="9">
        <f>3982.01</f>
        <v>3982.01</v>
      </c>
      <c r="L143" s="9">
        <f>2862.44</f>
        <v>2862.44</v>
      </c>
      <c r="M143" s="9">
        <f>2843.17</f>
        <v>2843.17</v>
      </c>
      <c r="N143" s="9">
        <f t="shared" si="72"/>
        <v>46088.4</v>
      </c>
    </row>
    <row r="144" spans="1:14" x14ac:dyDescent="0.25">
      <c r="A144" s="3" t="s">
        <v>151</v>
      </c>
      <c r="B144" s="9">
        <f>25</f>
        <v>25</v>
      </c>
      <c r="C144" s="9">
        <f>25</f>
        <v>25</v>
      </c>
      <c r="D144" s="9">
        <f>25</f>
        <v>25</v>
      </c>
      <c r="E144" s="9">
        <f>25</f>
        <v>25</v>
      </c>
      <c r="F144" s="9">
        <f>25</f>
        <v>25</v>
      </c>
      <c r="G144" s="9">
        <f>25</f>
        <v>25</v>
      </c>
      <c r="H144" s="9">
        <f>25</f>
        <v>25</v>
      </c>
      <c r="I144" s="9">
        <f>25</f>
        <v>25</v>
      </c>
      <c r="J144" s="9">
        <f>25</f>
        <v>25</v>
      </c>
      <c r="K144" s="9">
        <f>25</f>
        <v>25</v>
      </c>
      <c r="L144" s="9">
        <f>25</f>
        <v>25</v>
      </c>
      <c r="M144" s="9">
        <f>25</f>
        <v>25</v>
      </c>
      <c r="N144" s="9">
        <f t="shared" si="72"/>
        <v>300</v>
      </c>
    </row>
    <row r="145" spans="1:14" x14ac:dyDescent="0.25">
      <c r="A145" s="3" t="s">
        <v>152</v>
      </c>
      <c r="B145" s="9">
        <f>7500</f>
        <v>7500</v>
      </c>
      <c r="C145" s="9">
        <f>0</f>
        <v>0</v>
      </c>
      <c r="D145" s="9">
        <f>0</f>
        <v>0</v>
      </c>
      <c r="E145" s="9">
        <f>0</f>
        <v>0</v>
      </c>
      <c r="F145" s="9">
        <f>0</f>
        <v>0</v>
      </c>
      <c r="G145" s="9">
        <f>15000</f>
        <v>15000</v>
      </c>
      <c r="H145" s="9">
        <f>0</f>
        <v>0</v>
      </c>
      <c r="I145" s="9">
        <f>0</f>
        <v>0</v>
      </c>
      <c r="J145" s="9">
        <f>17500</f>
        <v>17500</v>
      </c>
      <c r="K145" s="9">
        <f>23000</f>
        <v>23000</v>
      </c>
      <c r="L145" s="9">
        <f>0</f>
        <v>0</v>
      </c>
      <c r="M145" s="9">
        <f>0</f>
        <v>0</v>
      </c>
      <c r="N145" s="9">
        <f t="shared" si="72"/>
        <v>63000</v>
      </c>
    </row>
    <row r="146" spans="1:14" x14ac:dyDescent="0.25">
      <c r="A146" s="3" t="s">
        <v>153</v>
      </c>
      <c r="B146" s="9">
        <f>83.37</f>
        <v>83.37</v>
      </c>
      <c r="C146" s="9">
        <f t="shared" ref="C146:M146" si="78">83.33</f>
        <v>83.33</v>
      </c>
      <c r="D146" s="9">
        <f t="shared" si="78"/>
        <v>83.33</v>
      </c>
      <c r="E146" s="9">
        <f t="shared" si="78"/>
        <v>83.33</v>
      </c>
      <c r="F146" s="9">
        <f t="shared" si="78"/>
        <v>83.33</v>
      </c>
      <c r="G146" s="9">
        <f t="shared" si="78"/>
        <v>83.33</v>
      </c>
      <c r="H146" s="9">
        <f t="shared" si="78"/>
        <v>83.33</v>
      </c>
      <c r="I146" s="9">
        <f t="shared" si="78"/>
        <v>83.33</v>
      </c>
      <c r="J146" s="9">
        <f t="shared" si="78"/>
        <v>83.33</v>
      </c>
      <c r="K146" s="9">
        <f t="shared" si="78"/>
        <v>83.33</v>
      </c>
      <c r="L146" s="9">
        <f t="shared" si="78"/>
        <v>83.33</v>
      </c>
      <c r="M146" s="9">
        <f t="shared" si="78"/>
        <v>83.33</v>
      </c>
      <c r="N146" s="9">
        <f t="shared" si="72"/>
        <v>1000.0000000000001</v>
      </c>
    </row>
    <row r="147" spans="1:14" x14ac:dyDescent="0.25">
      <c r="A147" s="3" t="s">
        <v>154</v>
      </c>
      <c r="B147" s="9">
        <f>66.63</f>
        <v>66.63</v>
      </c>
      <c r="C147" s="9">
        <f t="shared" ref="C147:M147" si="79">66.67</f>
        <v>66.67</v>
      </c>
      <c r="D147" s="9">
        <f t="shared" si="79"/>
        <v>66.67</v>
      </c>
      <c r="E147" s="9">
        <f t="shared" si="79"/>
        <v>66.67</v>
      </c>
      <c r="F147" s="9">
        <f t="shared" si="79"/>
        <v>66.67</v>
      </c>
      <c r="G147" s="9">
        <f t="shared" si="79"/>
        <v>66.67</v>
      </c>
      <c r="H147" s="9">
        <f t="shared" si="79"/>
        <v>66.67</v>
      </c>
      <c r="I147" s="9">
        <f t="shared" si="79"/>
        <v>66.67</v>
      </c>
      <c r="J147" s="9">
        <f t="shared" si="79"/>
        <v>66.67</v>
      </c>
      <c r="K147" s="9">
        <f t="shared" si="79"/>
        <v>66.67</v>
      </c>
      <c r="L147" s="9">
        <f t="shared" si="79"/>
        <v>66.67</v>
      </c>
      <c r="M147" s="9">
        <f t="shared" si="79"/>
        <v>66.67</v>
      </c>
      <c r="N147" s="9">
        <f t="shared" si="72"/>
        <v>799.99999999999989</v>
      </c>
    </row>
    <row r="148" spans="1:14" x14ac:dyDescent="0.25">
      <c r="A148" s="3" t="s">
        <v>155</v>
      </c>
      <c r="B148" s="9">
        <f>83.37</f>
        <v>83.37</v>
      </c>
      <c r="C148" s="9">
        <f t="shared" ref="C148:M148" si="80">83.33</f>
        <v>83.33</v>
      </c>
      <c r="D148" s="9">
        <f t="shared" si="80"/>
        <v>83.33</v>
      </c>
      <c r="E148" s="9">
        <f t="shared" si="80"/>
        <v>83.33</v>
      </c>
      <c r="F148" s="9">
        <f t="shared" si="80"/>
        <v>83.33</v>
      </c>
      <c r="G148" s="9">
        <f t="shared" si="80"/>
        <v>83.33</v>
      </c>
      <c r="H148" s="9">
        <f t="shared" si="80"/>
        <v>83.33</v>
      </c>
      <c r="I148" s="9">
        <f t="shared" si="80"/>
        <v>83.33</v>
      </c>
      <c r="J148" s="9">
        <f t="shared" si="80"/>
        <v>83.33</v>
      </c>
      <c r="K148" s="9">
        <f t="shared" si="80"/>
        <v>83.33</v>
      </c>
      <c r="L148" s="9">
        <f t="shared" si="80"/>
        <v>83.33</v>
      </c>
      <c r="M148" s="9">
        <f t="shared" si="80"/>
        <v>83.33</v>
      </c>
      <c r="N148" s="9">
        <f t="shared" si="72"/>
        <v>1000.0000000000001</v>
      </c>
    </row>
    <row r="149" spans="1:14" x14ac:dyDescent="0.25">
      <c r="A149" s="3" t="s">
        <v>156</v>
      </c>
      <c r="B149" s="9">
        <f>208.37</f>
        <v>208.37</v>
      </c>
      <c r="C149" s="9">
        <f t="shared" ref="C149:M149" si="81">208.33</f>
        <v>208.33</v>
      </c>
      <c r="D149" s="9">
        <f t="shared" si="81"/>
        <v>208.33</v>
      </c>
      <c r="E149" s="9">
        <f t="shared" si="81"/>
        <v>208.33</v>
      </c>
      <c r="F149" s="9">
        <f t="shared" si="81"/>
        <v>208.33</v>
      </c>
      <c r="G149" s="9">
        <f t="shared" si="81"/>
        <v>208.33</v>
      </c>
      <c r="H149" s="9">
        <f t="shared" si="81"/>
        <v>208.33</v>
      </c>
      <c r="I149" s="9">
        <f t="shared" si="81"/>
        <v>208.33</v>
      </c>
      <c r="J149" s="9">
        <f t="shared" si="81"/>
        <v>208.33</v>
      </c>
      <c r="K149" s="9">
        <f t="shared" si="81"/>
        <v>208.33</v>
      </c>
      <c r="L149" s="9">
        <f t="shared" si="81"/>
        <v>208.33</v>
      </c>
      <c r="M149" s="9">
        <f t="shared" si="81"/>
        <v>208.33</v>
      </c>
      <c r="N149" s="9">
        <f t="shared" si="72"/>
        <v>2499.9999999999995</v>
      </c>
    </row>
    <row r="150" spans="1:14" x14ac:dyDescent="0.25">
      <c r="A150" s="3" t="s">
        <v>157</v>
      </c>
      <c r="B150" s="9">
        <f>0</f>
        <v>0</v>
      </c>
      <c r="C150" s="9">
        <f>2500</f>
        <v>2500</v>
      </c>
      <c r="D150" s="9">
        <f>0</f>
        <v>0</v>
      </c>
      <c r="E150" s="9">
        <f>0</f>
        <v>0</v>
      </c>
      <c r="F150" s="9">
        <f>0</f>
        <v>0</v>
      </c>
      <c r="G150" s="9">
        <f>0</f>
        <v>0</v>
      </c>
      <c r="H150" s="9">
        <f>0</f>
        <v>0</v>
      </c>
      <c r="I150" s="9">
        <f>0</f>
        <v>0</v>
      </c>
      <c r="J150" s="9">
        <f>2500</f>
        <v>2500</v>
      </c>
      <c r="K150" s="9">
        <f>0</f>
        <v>0</v>
      </c>
      <c r="L150" s="9">
        <f>0</f>
        <v>0</v>
      </c>
      <c r="M150" s="9">
        <f>0</f>
        <v>0</v>
      </c>
      <c r="N150" s="9">
        <f t="shared" si="72"/>
        <v>5000</v>
      </c>
    </row>
    <row r="151" spans="1:14" x14ac:dyDescent="0.25">
      <c r="A151" s="3" t="s">
        <v>158</v>
      </c>
      <c r="B151" s="9">
        <f>0</f>
        <v>0</v>
      </c>
      <c r="C151" s="9">
        <f>0</f>
        <v>0</v>
      </c>
      <c r="D151" s="9">
        <f>0</f>
        <v>0</v>
      </c>
      <c r="E151" s="9">
        <f>0</f>
        <v>0</v>
      </c>
      <c r="F151" s="9">
        <f>0</f>
        <v>0</v>
      </c>
      <c r="G151" s="9">
        <f>5000</f>
        <v>5000</v>
      </c>
      <c r="H151" s="9">
        <f>5000</f>
        <v>5000</v>
      </c>
      <c r="I151" s="9">
        <f>0</f>
        <v>0</v>
      </c>
      <c r="J151" s="9">
        <f>0</f>
        <v>0</v>
      </c>
      <c r="K151" s="9">
        <f>0</f>
        <v>0</v>
      </c>
      <c r="L151" s="9">
        <f>0</f>
        <v>0</v>
      </c>
      <c r="M151" s="9">
        <f>0</f>
        <v>0</v>
      </c>
      <c r="N151" s="9">
        <f t="shared" si="72"/>
        <v>10000</v>
      </c>
    </row>
    <row r="152" spans="1:14" x14ac:dyDescent="0.25">
      <c r="A152" s="3" t="s">
        <v>159</v>
      </c>
      <c r="B152" s="9">
        <f>291.67</f>
        <v>291.67</v>
      </c>
      <c r="C152" s="9">
        <f>291.63</f>
        <v>291.63</v>
      </c>
      <c r="D152" s="9">
        <f t="shared" ref="D152:M152" si="82">291.67</f>
        <v>291.67</v>
      </c>
      <c r="E152" s="9">
        <f t="shared" si="82"/>
        <v>291.67</v>
      </c>
      <c r="F152" s="9">
        <f t="shared" si="82"/>
        <v>291.67</v>
      </c>
      <c r="G152" s="9">
        <f t="shared" si="82"/>
        <v>291.67</v>
      </c>
      <c r="H152" s="9">
        <f t="shared" si="82"/>
        <v>291.67</v>
      </c>
      <c r="I152" s="9">
        <f t="shared" si="82"/>
        <v>291.67</v>
      </c>
      <c r="J152" s="9">
        <f t="shared" si="82"/>
        <v>291.67</v>
      </c>
      <c r="K152" s="9">
        <f t="shared" si="82"/>
        <v>291.67</v>
      </c>
      <c r="L152" s="9">
        <f t="shared" si="82"/>
        <v>291.67</v>
      </c>
      <c r="M152" s="9">
        <f t="shared" si="82"/>
        <v>291.67</v>
      </c>
      <c r="N152" s="9">
        <f t="shared" si="72"/>
        <v>3500.0000000000005</v>
      </c>
    </row>
    <row r="153" spans="1:14" x14ac:dyDescent="0.25">
      <c r="A153" s="3" t="s">
        <v>160</v>
      </c>
      <c r="B153" s="9">
        <f>208.37</f>
        <v>208.37</v>
      </c>
      <c r="C153" s="9">
        <f t="shared" ref="C153:M153" si="83">208.33</f>
        <v>208.33</v>
      </c>
      <c r="D153" s="9">
        <f t="shared" si="83"/>
        <v>208.33</v>
      </c>
      <c r="E153" s="9">
        <f t="shared" si="83"/>
        <v>208.33</v>
      </c>
      <c r="F153" s="9">
        <f t="shared" si="83"/>
        <v>208.33</v>
      </c>
      <c r="G153" s="9">
        <f t="shared" si="83"/>
        <v>208.33</v>
      </c>
      <c r="H153" s="9">
        <f t="shared" si="83"/>
        <v>208.33</v>
      </c>
      <c r="I153" s="9">
        <f t="shared" si="83"/>
        <v>208.33</v>
      </c>
      <c r="J153" s="9">
        <f t="shared" si="83"/>
        <v>208.33</v>
      </c>
      <c r="K153" s="9">
        <f t="shared" si="83"/>
        <v>208.33</v>
      </c>
      <c r="L153" s="9">
        <f t="shared" si="83"/>
        <v>208.33</v>
      </c>
      <c r="M153" s="9">
        <f t="shared" si="83"/>
        <v>208.33</v>
      </c>
      <c r="N153" s="9">
        <f t="shared" si="72"/>
        <v>2499.9999999999995</v>
      </c>
    </row>
    <row r="154" spans="1:14" x14ac:dyDescent="0.25">
      <c r="A154" s="3" t="s">
        <v>161</v>
      </c>
      <c r="B154" s="9">
        <f>0</f>
        <v>0</v>
      </c>
      <c r="C154" s="9">
        <f>10000</f>
        <v>10000</v>
      </c>
      <c r="D154" s="9">
        <f>0</f>
        <v>0</v>
      </c>
      <c r="E154" s="9">
        <f>5000</f>
        <v>5000</v>
      </c>
      <c r="F154" s="9">
        <f>0</f>
        <v>0</v>
      </c>
      <c r="G154" s="9">
        <f>0</f>
        <v>0</v>
      </c>
      <c r="H154" s="9">
        <f>0</f>
        <v>0</v>
      </c>
      <c r="I154" s="9">
        <f>0</f>
        <v>0</v>
      </c>
      <c r="J154" s="9">
        <f>0</f>
        <v>0</v>
      </c>
      <c r="K154" s="9">
        <f>0</f>
        <v>0</v>
      </c>
      <c r="L154" s="9">
        <f>0</f>
        <v>0</v>
      </c>
      <c r="M154" s="9">
        <f>0</f>
        <v>0</v>
      </c>
      <c r="N154" s="9">
        <f t="shared" si="72"/>
        <v>15000</v>
      </c>
    </row>
    <row r="155" spans="1:14" x14ac:dyDescent="0.25">
      <c r="A155" s="3" t="s">
        <v>162</v>
      </c>
      <c r="B155" s="9">
        <f>58.37</f>
        <v>58.37</v>
      </c>
      <c r="C155" s="9">
        <f t="shared" ref="C155:M155" si="84">58.33</f>
        <v>58.33</v>
      </c>
      <c r="D155" s="9">
        <f t="shared" si="84"/>
        <v>58.33</v>
      </c>
      <c r="E155" s="9">
        <f t="shared" si="84"/>
        <v>58.33</v>
      </c>
      <c r="F155" s="9">
        <f t="shared" si="84"/>
        <v>58.33</v>
      </c>
      <c r="G155" s="9">
        <f t="shared" si="84"/>
        <v>58.33</v>
      </c>
      <c r="H155" s="9">
        <f t="shared" si="84"/>
        <v>58.33</v>
      </c>
      <c r="I155" s="9">
        <f t="shared" si="84"/>
        <v>58.33</v>
      </c>
      <c r="J155" s="9">
        <f t="shared" si="84"/>
        <v>58.33</v>
      </c>
      <c r="K155" s="9">
        <f t="shared" si="84"/>
        <v>58.33</v>
      </c>
      <c r="L155" s="9">
        <f t="shared" si="84"/>
        <v>58.33</v>
      </c>
      <c r="M155" s="9">
        <f t="shared" si="84"/>
        <v>58.33</v>
      </c>
      <c r="N155" s="9">
        <f t="shared" si="72"/>
        <v>700</v>
      </c>
    </row>
    <row r="156" spans="1:14" x14ac:dyDescent="0.25">
      <c r="A156" s="3" t="s">
        <v>163</v>
      </c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9">
        <f t="shared" si="72"/>
        <v>0</v>
      </c>
    </row>
    <row r="157" spans="1:14" x14ac:dyDescent="0.25">
      <c r="A157" s="3" t="s">
        <v>164</v>
      </c>
      <c r="B157" s="9">
        <f t="shared" ref="B157:L157" si="85">13643.12</f>
        <v>13643.12</v>
      </c>
      <c r="C157" s="9">
        <f t="shared" si="85"/>
        <v>13643.12</v>
      </c>
      <c r="D157" s="9">
        <f t="shared" si="85"/>
        <v>13643.12</v>
      </c>
      <c r="E157" s="9">
        <f t="shared" si="85"/>
        <v>13643.12</v>
      </c>
      <c r="F157" s="9">
        <f t="shared" si="85"/>
        <v>13643.12</v>
      </c>
      <c r="G157" s="9">
        <f t="shared" si="85"/>
        <v>13643.12</v>
      </c>
      <c r="H157" s="9">
        <f t="shared" si="85"/>
        <v>13643.12</v>
      </c>
      <c r="I157" s="9">
        <f t="shared" si="85"/>
        <v>13643.12</v>
      </c>
      <c r="J157" s="9">
        <f t="shared" si="85"/>
        <v>13643.12</v>
      </c>
      <c r="K157" s="9">
        <f t="shared" si="85"/>
        <v>13643.12</v>
      </c>
      <c r="L157" s="9">
        <f t="shared" si="85"/>
        <v>13643.12</v>
      </c>
      <c r="M157" s="9">
        <f>13643.11</f>
        <v>13643.11</v>
      </c>
      <c r="N157" s="9">
        <f t="shared" si="72"/>
        <v>163717.43</v>
      </c>
    </row>
    <row r="158" spans="1:14" x14ac:dyDescent="0.25">
      <c r="A158" s="3" t="s">
        <v>165</v>
      </c>
      <c r="B158" s="9">
        <f>1170</f>
        <v>1170</v>
      </c>
      <c r="C158" s="9">
        <f>1170</f>
        <v>1170</v>
      </c>
      <c r="D158" s="9">
        <f>1170</f>
        <v>1170</v>
      </c>
      <c r="E158" s="9">
        <f>1170</f>
        <v>1170</v>
      </c>
      <c r="F158" s="9">
        <f>1170</f>
        <v>1170</v>
      </c>
      <c r="G158" s="9">
        <f>1170</f>
        <v>1170</v>
      </c>
      <c r="H158" s="9">
        <f>1170</f>
        <v>1170</v>
      </c>
      <c r="I158" s="9">
        <f>1170</f>
        <v>1170</v>
      </c>
      <c r="J158" s="9">
        <f>1170</f>
        <v>1170</v>
      </c>
      <c r="K158" s="9">
        <f>1170</f>
        <v>1170</v>
      </c>
      <c r="L158" s="9">
        <f>1170</f>
        <v>1170</v>
      </c>
      <c r="M158" s="9">
        <f>1170</f>
        <v>1170</v>
      </c>
      <c r="N158" s="9">
        <f t="shared" si="72"/>
        <v>14040</v>
      </c>
    </row>
    <row r="159" spans="1:14" x14ac:dyDescent="0.25">
      <c r="A159" s="3" t="s">
        <v>166</v>
      </c>
      <c r="B159" s="9">
        <f>1296.06</f>
        <v>1296.06</v>
      </c>
      <c r="C159" s="9">
        <f t="shared" ref="C159:M159" si="86">1296.1</f>
        <v>1296.0999999999999</v>
      </c>
      <c r="D159" s="9">
        <f t="shared" si="86"/>
        <v>1296.0999999999999</v>
      </c>
      <c r="E159" s="9">
        <f t="shared" si="86"/>
        <v>1296.0999999999999</v>
      </c>
      <c r="F159" s="9">
        <f t="shared" si="86"/>
        <v>1296.0999999999999</v>
      </c>
      <c r="G159" s="9">
        <f t="shared" si="86"/>
        <v>1296.0999999999999</v>
      </c>
      <c r="H159" s="9">
        <f t="shared" si="86"/>
        <v>1296.0999999999999</v>
      </c>
      <c r="I159" s="9">
        <f t="shared" si="86"/>
        <v>1296.0999999999999</v>
      </c>
      <c r="J159" s="9">
        <f t="shared" si="86"/>
        <v>1296.0999999999999</v>
      </c>
      <c r="K159" s="9">
        <f t="shared" si="86"/>
        <v>1296.0999999999999</v>
      </c>
      <c r="L159" s="9">
        <f t="shared" si="86"/>
        <v>1296.0999999999999</v>
      </c>
      <c r="M159" s="9">
        <f t="shared" si="86"/>
        <v>1296.0999999999999</v>
      </c>
      <c r="N159" s="9">
        <f t="shared" si="72"/>
        <v>15553.160000000002</v>
      </c>
    </row>
    <row r="160" spans="1:14" x14ac:dyDescent="0.25">
      <c r="A160" s="3" t="s">
        <v>167</v>
      </c>
      <c r="B160" s="10">
        <f t="shared" ref="B160:M160" si="87">(((B156)+(B157))+(B158))+(B159)</f>
        <v>16109.18</v>
      </c>
      <c r="C160" s="10">
        <f t="shared" si="87"/>
        <v>16109.220000000001</v>
      </c>
      <c r="D160" s="10">
        <f t="shared" si="87"/>
        <v>16109.220000000001</v>
      </c>
      <c r="E160" s="10">
        <f t="shared" si="87"/>
        <v>16109.220000000001</v>
      </c>
      <c r="F160" s="10">
        <f t="shared" si="87"/>
        <v>16109.220000000001</v>
      </c>
      <c r="G160" s="10">
        <f t="shared" si="87"/>
        <v>16109.220000000001</v>
      </c>
      <c r="H160" s="10">
        <f t="shared" si="87"/>
        <v>16109.220000000001</v>
      </c>
      <c r="I160" s="10">
        <f t="shared" si="87"/>
        <v>16109.220000000001</v>
      </c>
      <c r="J160" s="10">
        <f t="shared" si="87"/>
        <v>16109.220000000001</v>
      </c>
      <c r="K160" s="10">
        <f t="shared" si="87"/>
        <v>16109.220000000001</v>
      </c>
      <c r="L160" s="10">
        <f t="shared" si="87"/>
        <v>16109.220000000001</v>
      </c>
      <c r="M160" s="10">
        <f t="shared" si="87"/>
        <v>16109.210000000001</v>
      </c>
      <c r="N160" s="10">
        <f t="shared" si="72"/>
        <v>193310.59</v>
      </c>
    </row>
    <row r="161" spans="1:14" x14ac:dyDescent="0.25">
      <c r="A161" s="3" t="s">
        <v>168</v>
      </c>
      <c r="B161" s="9">
        <f t="shared" ref="B161:M161" si="88">62.5</f>
        <v>62.5</v>
      </c>
      <c r="C161" s="9">
        <f t="shared" si="88"/>
        <v>62.5</v>
      </c>
      <c r="D161" s="9">
        <f t="shared" si="88"/>
        <v>62.5</v>
      </c>
      <c r="E161" s="9">
        <f t="shared" si="88"/>
        <v>62.5</v>
      </c>
      <c r="F161" s="9">
        <f t="shared" si="88"/>
        <v>62.5</v>
      </c>
      <c r="G161" s="9">
        <f t="shared" si="88"/>
        <v>62.5</v>
      </c>
      <c r="H161" s="9">
        <f t="shared" si="88"/>
        <v>62.5</v>
      </c>
      <c r="I161" s="9">
        <f t="shared" si="88"/>
        <v>62.5</v>
      </c>
      <c r="J161" s="9">
        <f t="shared" si="88"/>
        <v>62.5</v>
      </c>
      <c r="K161" s="9">
        <f t="shared" si="88"/>
        <v>62.5</v>
      </c>
      <c r="L161" s="9">
        <f t="shared" si="88"/>
        <v>62.5</v>
      </c>
      <c r="M161" s="9">
        <f t="shared" si="88"/>
        <v>62.5</v>
      </c>
      <c r="N161" s="9">
        <f t="shared" si="72"/>
        <v>750</v>
      </c>
    </row>
    <row r="162" spans="1:14" x14ac:dyDescent="0.25">
      <c r="A162" s="3" t="s">
        <v>169</v>
      </c>
      <c r="B162" s="9">
        <f t="shared" ref="B162:M162" si="89">6.25</f>
        <v>6.25</v>
      </c>
      <c r="C162" s="9">
        <f t="shared" si="89"/>
        <v>6.25</v>
      </c>
      <c r="D162" s="9">
        <f t="shared" si="89"/>
        <v>6.25</v>
      </c>
      <c r="E162" s="9">
        <f t="shared" si="89"/>
        <v>6.25</v>
      </c>
      <c r="F162" s="9">
        <f t="shared" si="89"/>
        <v>6.25</v>
      </c>
      <c r="G162" s="9">
        <f t="shared" si="89"/>
        <v>6.25</v>
      </c>
      <c r="H162" s="9">
        <f t="shared" si="89"/>
        <v>6.25</v>
      </c>
      <c r="I162" s="9">
        <f t="shared" si="89"/>
        <v>6.25</v>
      </c>
      <c r="J162" s="9">
        <f t="shared" si="89"/>
        <v>6.25</v>
      </c>
      <c r="K162" s="9">
        <f t="shared" si="89"/>
        <v>6.25</v>
      </c>
      <c r="L162" s="9">
        <f t="shared" si="89"/>
        <v>6.25</v>
      </c>
      <c r="M162" s="9">
        <f t="shared" si="89"/>
        <v>6.25</v>
      </c>
      <c r="N162" s="9">
        <f t="shared" si="72"/>
        <v>75</v>
      </c>
    </row>
    <row r="163" spans="1:14" x14ac:dyDescent="0.25">
      <c r="A163" s="3" t="s">
        <v>170</v>
      </c>
      <c r="B163" s="9">
        <f t="shared" ref="B163:M163" si="90">12.5</f>
        <v>12.5</v>
      </c>
      <c r="C163" s="9">
        <f t="shared" si="90"/>
        <v>12.5</v>
      </c>
      <c r="D163" s="9">
        <f t="shared" si="90"/>
        <v>12.5</v>
      </c>
      <c r="E163" s="9">
        <f t="shared" si="90"/>
        <v>12.5</v>
      </c>
      <c r="F163" s="9">
        <f t="shared" si="90"/>
        <v>12.5</v>
      </c>
      <c r="G163" s="9">
        <f t="shared" si="90"/>
        <v>12.5</v>
      </c>
      <c r="H163" s="9">
        <f t="shared" si="90"/>
        <v>12.5</v>
      </c>
      <c r="I163" s="9">
        <f t="shared" si="90"/>
        <v>12.5</v>
      </c>
      <c r="J163" s="9">
        <f t="shared" si="90"/>
        <v>12.5</v>
      </c>
      <c r="K163" s="9">
        <f t="shared" si="90"/>
        <v>12.5</v>
      </c>
      <c r="L163" s="9">
        <f t="shared" si="90"/>
        <v>12.5</v>
      </c>
      <c r="M163" s="9">
        <f t="shared" si="90"/>
        <v>12.5</v>
      </c>
      <c r="N163" s="9">
        <f t="shared" si="72"/>
        <v>150</v>
      </c>
    </row>
    <row r="164" spans="1:14" x14ac:dyDescent="0.25">
      <c r="A164" s="3" t="s">
        <v>171</v>
      </c>
      <c r="B164" s="10">
        <f t="shared" ref="B164:M164" si="91">((((((((((((((((((B141)+(B142))+(B143))+(B144))+(B145))+(B146))+(B147))+(B148))+(B149))+(B150))+(B151))+(B152))+(B153))+(B154))+(B155))+(B160))+(B161))+(B162))+(B163)</f>
        <v>34741.089999999997</v>
      </c>
      <c r="C164" s="10">
        <f t="shared" si="91"/>
        <v>38290.160000000003</v>
      </c>
      <c r="D164" s="10">
        <f t="shared" si="91"/>
        <v>25214.85</v>
      </c>
      <c r="E164" s="10">
        <f t="shared" si="91"/>
        <v>31555.54</v>
      </c>
      <c r="F164" s="10">
        <f t="shared" si="91"/>
        <v>25248.04</v>
      </c>
      <c r="G164" s="10">
        <f t="shared" si="91"/>
        <v>48199.970000000008</v>
      </c>
      <c r="H164" s="10">
        <f t="shared" si="91"/>
        <v>30503.96</v>
      </c>
      <c r="I164" s="10">
        <f t="shared" si="91"/>
        <v>25216.5</v>
      </c>
      <c r="J164" s="10">
        <f t="shared" si="91"/>
        <v>46104.630000000005</v>
      </c>
      <c r="K164" s="10">
        <f t="shared" si="91"/>
        <v>49056.890000000007</v>
      </c>
      <c r="L164" s="10">
        <f t="shared" si="91"/>
        <v>24937.32</v>
      </c>
      <c r="M164" s="10">
        <f t="shared" si="91"/>
        <v>24918.04</v>
      </c>
      <c r="N164" s="10">
        <f t="shared" si="72"/>
        <v>403986.99</v>
      </c>
    </row>
    <row r="165" spans="1:14" x14ac:dyDescent="0.25">
      <c r="A165" s="3" t="s">
        <v>172</v>
      </c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9">
        <f t="shared" si="72"/>
        <v>0</v>
      </c>
    </row>
    <row r="166" spans="1:14" x14ac:dyDescent="0.25">
      <c r="A166" s="3" t="s">
        <v>173</v>
      </c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9">
        <f t="shared" si="72"/>
        <v>0</v>
      </c>
    </row>
    <row r="167" spans="1:14" x14ac:dyDescent="0.25">
      <c r="A167" s="3" t="s">
        <v>174</v>
      </c>
      <c r="B167" s="9">
        <f t="shared" ref="B167:L167" si="92">4.17</f>
        <v>4.17</v>
      </c>
      <c r="C167" s="9">
        <f t="shared" si="92"/>
        <v>4.17</v>
      </c>
      <c r="D167" s="9">
        <f t="shared" si="92"/>
        <v>4.17</v>
      </c>
      <c r="E167" s="9">
        <f t="shared" si="92"/>
        <v>4.17</v>
      </c>
      <c r="F167" s="9">
        <f t="shared" si="92"/>
        <v>4.17</v>
      </c>
      <c r="G167" s="9">
        <f t="shared" si="92"/>
        <v>4.17</v>
      </c>
      <c r="H167" s="9">
        <f t="shared" si="92"/>
        <v>4.17</v>
      </c>
      <c r="I167" s="9">
        <f t="shared" si="92"/>
        <v>4.17</v>
      </c>
      <c r="J167" s="9">
        <f t="shared" si="92"/>
        <v>4.17</v>
      </c>
      <c r="K167" s="9">
        <f t="shared" si="92"/>
        <v>4.17</v>
      </c>
      <c r="L167" s="9">
        <f t="shared" si="92"/>
        <v>4.17</v>
      </c>
      <c r="M167" s="9">
        <f>4.13</f>
        <v>4.13</v>
      </c>
      <c r="N167" s="9">
        <f t="shared" si="72"/>
        <v>50.000000000000014</v>
      </c>
    </row>
    <row r="168" spans="1:14" x14ac:dyDescent="0.25">
      <c r="A168" s="3" t="s">
        <v>175</v>
      </c>
      <c r="B168" s="9">
        <f t="shared" ref="B168:L168" si="93">16.67</f>
        <v>16.670000000000002</v>
      </c>
      <c r="C168" s="9">
        <f t="shared" si="93"/>
        <v>16.670000000000002</v>
      </c>
      <c r="D168" s="9">
        <f t="shared" si="93"/>
        <v>16.670000000000002</v>
      </c>
      <c r="E168" s="9">
        <f t="shared" si="93"/>
        <v>16.670000000000002</v>
      </c>
      <c r="F168" s="9">
        <f t="shared" si="93"/>
        <v>16.670000000000002</v>
      </c>
      <c r="G168" s="9">
        <f t="shared" si="93"/>
        <v>16.670000000000002</v>
      </c>
      <c r="H168" s="9">
        <f t="shared" si="93"/>
        <v>16.670000000000002</v>
      </c>
      <c r="I168" s="9">
        <f t="shared" si="93"/>
        <v>16.670000000000002</v>
      </c>
      <c r="J168" s="9">
        <f t="shared" si="93"/>
        <v>16.670000000000002</v>
      </c>
      <c r="K168" s="9">
        <f t="shared" si="93"/>
        <v>16.670000000000002</v>
      </c>
      <c r="L168" s="9">
        <f t="shared" si="93"/>
        <v>16.670000000000002</v>
      </c>
      <c r="M168" s="9">
        <f>16.63</f>
        <v>16.63</v>
      </c>
      <c r="N168" s="9">
        <f t="shared" si="72"/>
        <v>200.00000000000006</v>
      </c>
    </row>
    <row r="169" spans="1:14" x14ac:dyDescent="0.25">
      <c r="A169" s="3" t="s">
        <v>176</v>
      </c>
      <c r="B169" s="9">
        <f>1000</f>
        <v>1000</v>
      </c>
      <c r="C169" s="9">
        <f>1000</f>
        <v>1000</v>
      </c>
      <c r="D169" s="9">
        <f>1000</f>
        <v>1000</v>
      </c>
      <c r="E169" s="9">
        <f>1000</f>
        <v>1000</v>
      </c>
      <c r="F169" s="9">
        <f>1000</f>
        <v>1000</v>
      </c>
      <c r="G169" s="9">
        <f>1000</f>
        <v>1000</v>
      </c>
      <c r="H169" s="9">
        <f>1000</f>
        <v>1000</v>
      </c>
      <c r="I169" s="9">
        <f>1000</f>
        <v>1000</v>
      </c>
      <c r="J169" s="9">
        <f>1000</f>
        <v>1000</v>
      </c>
      <c r="K169" s="9">
        <f>1000</f>
        <v>1000</v>
      </c>
      <c r="L169" s="9">
        <f>1000</f>
        <v>1000</v>
      </c>
      <c r="M169" s="9">
        <f>1000</f>
        <v>1000</v>
      </c>
      <c r="N169" s="9">
        <f t="shared" si="72"/>
        <v>12000</v>
      </c>
    </row>
    <row r="170" spans="1:14" x14ac:dyDescent="0.25">
      <c r="A170" s="3" t="s">
        <v>177</v>
      </c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9">
        <f t="shared" si="72"/>
        <v>0</v>
      </c>
    </row>
    <row r="171" spans="1:14" x14ac:dyDescent="0.25">
      <c r="A171" s="3" t="s">
        <v>178</v>
      </c>
      <c r="B171" s="9">
        <f t="shared" ref="B171:L171" si="94">8333.33</f>
        <v>8333.33</v>
      </c>
      <c r="C171" s="9">
        <f t="shared" si="94"/>
        <v>8333.33</v>
      </c>
      <c r="D171" s="9">
        <f t="shared" si="94"/>
        <v>8333.33</v>
      </c>
      <c r="E171" s="9">
        <f t="shared" si="94"/>
        <v>8333.33</v>
      </c>
      <c r="F171" s="9">
        <f t="shared" si="94"/>
        <v>8333.33</v>
      </c>
      <c r="G171" s="9">
        <f t="shared" si="94"/>
        <v>8333.33</v>
      </c>
      <c r="H171" s="9">
        <f t="shared" si="94"/>
        <v>8333.33</v>
      </c>
      <c r="I171" s="9">
        <f t="shared" si="94"/>
        <v>8333.33</v>
      </c>
      <c r="J171" s="9">
        <f t="shared" si="94"/>
        <v>8333.33</v>
      </c>
      <c r="K171" s="9">
        <f t="shared" si="94"/>
        <v>8333.33</v>
      </c>
      <c r="L171" s="9">
        <f t="shared" si="94"/>
        <v>8333.33</v>
      </c>
      <c r="M171" s="9">
        <f>8333.37</f>
        <v>8333.3700000000008</v>
      </c>
      <c r="N171" s="9">
        <f t="shared" si="72"/>
        <v>100000</v>
      </c>
    </row>
    <row r="172" spans="1:14" x14ac:dyDescent="0.25">
      <c r="A172" s="3" t="s">
        <v>179</v>
      </c>
      <c r="B172" s="10">
        <f t="shared" ref="B172:M172" si="95">(B170)+(B171)</f>
        <v>8333.33</v>
      </c>
      <c r="C172" s="10">
        <f t="shared" si="95"/>
        <v>8333.33</v>
      </c>
      <c r="D172" s="10">
        <f t="shared" si="95"/>
        <v>8333.33</v>
      </c>
      <c r="E172" s="10">
        <f t="shared" si="95"/>
        <v>8333.33</v>
      </c>
      <c r="F172" s="10">
        <f t="shared" si="95"/>
        <v>8333.33</v>
      </c>
      <c r="G172" s="10">
        <f t="shared" si="95"/>
        <v>8333.33</v>
      </c>
      <c r="H172" s="10">
        <f t="shared" si="95"/>
        <v>8333.33</v>
      </c>
      <c r="I172" s="10">
        <f t="shared" si="95"/>
        <v>8333.33</v>
      </c>
      <c r="J172" s="10">
        <f t="shared" si="95"/>
        <v>8333.33</v>
      </c>
      <c r="K172" s="10">
        <f t="shared" si="95"/>
        <v>8333.33</v>
      </c>
      <c r="L172" s="10">
        <f t="shared" si="95"/>
        <v>8333.33</v>
      </c>
      <c r="M172" s="10">
        <f t="shared" si="95"/>
        <v>8333.3700000000008</v>
      </c>
      <c r="N172" s="10">
        <f t="shared" si="72"/>
        <v>100000</v>
      </c>
    </row>
    <row r="173" spans="1:14" x14ac:dyDescent="0.25">
      <c r="A173" s="3" t="s">
        <v>180</v>
      </c>
      <c r="B173" s="9">
        <f>7708</f>
        <v>7708</v>
      </c>
      <c r="C173" s="9">
        <f>7708</f>
        <v>7708</v>
      </c>
      <c r="D173" s="9">
        <f>7708</f>
        <v>7708</v>
      </c>
      <c r="E173" s="9">
        <f>7708</f>
        <v>7708</v>
      </c>
      <c r="F173" s="9">
        <f>7708</f>
        <v>7708</v>
      </c>
      <c r="G173" s="9">
        <f>7708</f>
        <v>7708</v>
      </c>
      <c r="H173" s="9">
        <f>7708</f>
        <v>7708</v>
      </c>
      <c r="I173" s="9">
        <f>7708</f>
        <v>7708</v>
      </c>
      <c r="J173" s="9">
        <f>7708</f>
        <v>7708</v>
      </c>
      <c r="K173" s="9">
        <f>208</f>
        <v>208</v>
      </c>
      <c r="L173" s="9">
        <f>208</f>
        <v>208</v>
      </c>
      <c r="M173" s="9">
        <f>212</f>
        <v>212</v>
      </c>
      <c r="N173" s="9">
        <f t="shared" si="72"/>
        <v>70000</v>
      </c>
    </row>
    <row r="174" spans="1:14" x14ac:dyDescent="0.25">
      <c r="A174" s="3" t="s">
        <v>181</v>
      </c>
      <c r="B174" s="9">
        <f t="shared" ref="B174:L174" si="96">166.67</f>
        <v>166.67</v>
      </c>
      <c r="C174" s="9">
        <f t="shared" si="96"/>
        <v>166.67</v>
      </c>
      <c r="D174" s="9">
        <f t="shared" si="96"/>
        <v>166.67</v>
      </c>
      <c r="E174" s="9">
        <f t="shared" si="96"/>
        <v>166.67</v>
      </c>
      <c r="F174" s="9">
        <f t="shared" si="96"/>
        <v>166.67</v>
      </c>
      <c r="G174" s="9">
        <f t="shared" si="96"/>
        <v>166.67</v>
      </c>
      <c r="H174" s="9">
        <f t="shared" si="96"/>
        <v>166.67</v>
      </c>
      <c r="I174" s="9">
        <f t="shared" si="96"/>
        <v>166.67</v>
      </c>
      <c r="J174" s="9">
        <f t="shared" si="96"/>
        <v>166.67</v>
      </c>
      <c r="K174" s="9">
        <f t="shared" si="96"/>
        <v>166.67</v>
      </c>
      <c r="L174" s="9">
        <f t="shared" si="96"/>
        <v>166.67</v>
      </c>
      <c r="M174" s="9">
        <f>166.63</f>
        <v>166.63</v>
      </c>
      <c r="N174" s="9">
        <f t="shared" si="72"/>
        <v>2000</v>
      </c>
    </row>
    <row r="175" spans="1:14" x14ac:dyDescent="0.25">
      <c r="A175" s="3" t="s">
        <v>182</v>
      </c>
      <c r="B175" s="9">
        <f>0</f>
        <v>0</v>
      </c>
      <c r="C175" s="9">
        <f>270</f>
        <v>270</v>
      </c>
      <c r="D175" s="9">
        <f>0</f>
        <v>0</v>
      </c>
      <c r="E175" s="9">
        <f>24000</f>
        <v>24000</v>
      </c>
      <c r="F175" s="9">
        <f>180</f>
        <v>180</v>
      </c>
      <c r="G175" s="9">
        <f>9680</f>
        <v>9680</v>
      </c>
      <c r="H175" s="9">
        <f>3100</f>
        <v>3100</v>
      </c>
      <c r="I175" s="9">
        <f>0</f>
        <v>0</v>
      </c>
      <c r="J175" s="9">
        <f>0</f>
        <v>0</v>
      </c>
      <c r="K175" s="9">
        <f>270</f>
        <v>270</v>
      </c>
      <c r="L175" s="9">
        <f>0</f>
        <v>0</v>
      </c>
      <c r="M175" s="9">
        <f>0</f>
        <v>0</v>
      </c>
      <c r="N175" s="9">
        <f t="shared" si="72"/>
        <v>37500</v>
      </c>
    </row>
    <row r="176" spans="1:14" x14ac:dyDescent="0.25">
      <c r="A176" s="3" t="s">
        <v>183</v>
      </c>
      <c r="B176" s="9">
        <f>416.63</f>
        <v>416.63</v>
      </c>
      <c r="C176" s="9">
        <f t="shared" ref="C176:M176" si="97">416.67</f>
        <v>416.67</v>
      </c>
      <c r="D176" s="9">
        <f t="shared" si="97"/>
        <v>416.67</v>
      </c>
      <c r="E176" s="9">
        <f t="shared" si="97"/>
        <v>416.67</v>
      </c>
      <c r="F176" s="9">
        <f t="shared" si="97"/>
        <v>416.67</v>
      </c>
      <c r="G176" s="9">
        <f t="shared" si="97"/>
        <v>416.67</v>
      </c>
      <c r="H176" s="9">
        <f t="shared" si="97"/>
        <v>416.67</v>
      </c>
      <c r="I176" s="9">
        <f t="shared" si="97"/>
        <v>416.67</v>
      </c>
      <c r="J176" s="9">
        <f t="shared" si="97"/>
        <v>416.67</v>
      </c>
      <c r="K176" s="9">
        <f t="shared" si="97"/>
        <v>416.67</v>
      </c>
      <c r="L176" s="9">
        <f t="shared" si="97"/>
        <v>416.67</v>
      </c>
      <c r="M176" s="9">
        <f t="shared" si="97"/>
        <v>416.67</v>
      </c>
      <c r="N176" s="9">
        <f t="shared" si="72"/>
        <v>5000</v>
      </c>
    </row>
    <row r="177" spans="1:14" x14ac:dyDescent="0.25">
      <c r="A177" s="3" t="s">
        <v>184</v>
      </c>
      <c r="B177" s="9">
        <f>50</f>
        <v>50</v>
      </c>
      <c r="C177" s="9">
        <f>50</f>
        <v>50</v>
      </c>
      <c r="D177" s="9">
        <f>50</f>
        <v>50</v>
      </c>
      <c r="E177" s="9">
        <f>50</f>
        <v>50</v>
      </c>
      <c r="F177" s="9">
        <f>50</f>
        <v>50</v>
      </c>
      <c r="G177" s="9">
        <f>50</f>
        <v>50</v>
      </c>
      <c r="H177" s="9">
        <f>50</f>
        <v>50</v>
      </c>
      <c r="I177" s="9">
        <f>50</f>
        <v>50</v>
      </c>
      <c r="J177" s="9">
        <f>50</f>
        <v>50</v>
      </c>
      <c r="K177" s="9">
        <f>50</f>
        <v>50</v>
      </c>
      <c r="L177" s="9">
        <f>50</f>
        <v>50</v>
      </c>
      <c r="M177" s="9">
        <f>50</f>
        <v>50</v>
      </c>
      <c r="N177" s="9">
        <f t="shared" si="72"/>
        <v>600</v>
      </c>
    </row>
    <row r="178" spans="1:14" x14ac:dyDescent="0.25">
      <c r="A178" s="3" t="s">
        <v>185</v>
      </c>
      <c r="B178" s="9">
        <f>200</f>
        <v>200</v>
      </c>
      <c r="C178" s="9">
        <f>200</f>
        <v>200</v>
      </c>
      <c r="D178" s="9">
        <f>200</f>
        <v>200</v>
      </c>
      <c r="E178" s="9">
        <f>200</f>
        <v>200</v>
      </c>
      <c r="F178" s="9">
        <f>200</f>
        <v>200</v>
      </c>
      <c r="G178" s="9">
        <f>200</f>
        <v>200</v>
      </c>
      <c r="H178" s="9">
        <f>200</f>
        <v>200</v>
      </c>
      <c r="I178" s="9">
        <f>200</f>
        <v>200</v>
      </c>
      <c r="J178" s="9">
        <f>200</f>
        <v>200</v>
      </c>
      <c r="K178" s="9">
        <f>200</f>
        <v>200</v>
      </c>
      <c r="L178" s="9">
        <f>200</f>
        <v>200</v>
      </c>
      <c r="M178" s="9">
        <f>200</f>
        <v>200</v>
      </c>
      <c r="N178" s="9">
        <f t="shared" si="72"/>
        <v>2400</v>
      </c>
    </row>
    <row r="179" spans="1:14" x14ac:dyDescent="0.25">
      <c r="A179" s="3" t="s">
        <v>186</v>
      </c>
      <c r="B179" s="9">
        <f t="shared" ref="B179:L179" si="98">166.67</f>
        <v>166.67</v>
      </c>
      <c r="C179" s="9">
        <f t="shared" si="98"/>
        <v>166.67</v>
      </c>
      <c r="D179" s="9">
        <f t="shared" si="98"/>
        <v>166.67</v>
      </c>
      <c r="E179" s="9">
        <f t="shared" si="98"/>
        <v>166.67</v>
      </c>
      <c r="F179" s="9">
        <f t="shared" si="98"/>
        <v>166.67</v>
      </c>
      <c r="G179" s="9">
        <f t="shared" si="98"/>
        <v>166.67</v>
      </c>
      <c r="H179" s="9">
        <f t="shared" si="98"/>
        <v>166.67</v>
      </c>
      <c r="I179" s="9">
        <f t="shared" si="98"/>
        <v>166.67</v>
      </c>
      <c r="J179" s="9">
        <f t="shared" si="98"/>
        <v>166.67</v>
      </c>
      <c r="K179" s="9">
        <f t="shared" si="98"/>
        <v>166.67</v>
      </c>
      <c r="L179" s="9">
        <f t="shared" si="98"/>
        <v>166.67</v>
      </c>
      <c r="M179" s="9">
        <f>166.63</f>
        <v>166.63</v>
      </c>
      <c r="N179" s="9">
        <f t="shared" si="72"/>
        <v>2000</v>
      </c>
    </row>
    <row r="180" spans="1:14" x14ac:dyDescent="0.25">
      <c r="A180" s="3" t="s">
        <v>187</v>
      </c>
      <c r="B180" s="9">
        <f t="shared" ref="B180:L180" si="99">41.67</f>
        <v>41.67</v>
      </c>
      <c r="C180" s="9">
        <f t="shared" si="99"/>
        <v>41.67</v>
      </c>
      <c r="D180" s="9">
        <f t="shared" si="99"/>
        <v>41.67</v>
      </c>
      <c r="E180" s="9">
        <f t="shared" si="99"/>
        <v>41.67</v>
      </c>
      <c r="F180" s="9">
        <f t="shared" si="99"/>
        <v>41.67</v>
      </c>
      <c r="G180" s="9">
        <f t="shared" si="99"/>
        <v>41.67</v>
      </c>
      <c r="H180" s="9">
        <f t="shared" si="99"/>
        <v>41.67</v>
      </c>
      <c r="I180" s="9">
        <f t="shared" si="99"/>
        <v>41.67</v>
      </c>
      <c r="J180" s="9">
        <f t="shared" si="99"/>
        <v>41.67</v>
      </c>
      <c r="K180" s="9">
        <f t="shared" si="99"/>
        <v>41.67</v>
      </c>
      <c r="L180" s="9">
        <f t="shared" si="99"/>
        <v>41.67</v>
      </c>
      <c r="M180" s="9">
        <f>41.63</f>
        <v>41.63</v>
      </c>
      <c r="N180" s="9">
        <f t="shared" si="72"/>
        <v>500.00000000000011</v>
      </c>
    </row>
    <row r="181" spans="1:14" x14ac:dyDescent="0.25">
      <c r="A181" s="3" t="s">
        <v>188</v>
      </c>
      <c r="B181" s="9">
        <f t="shared" ref="B181:M181" si="100">-69204.12</f>
        <v>-69204.12</v>
      </c>
      <c r="C181" s="9">
        <f t="shared" si="100"/>
        <v>-69204.12</v>
      </c>
      <c r="D181" s="9">
        <f t="shared" si="100"/>
        <v>-69204.12</v>
      </c>
      <c r="E181" s="9">
        <f t="shared" si="100"/>
        <v>-69204.12</v>
      </c>
      <c r="F181" s="9">
        <f t="shared" si="100"/>
        <v>-69204.12</v>
      </c>
      <c r="G181" s="9">
        <f t="shared" si="100"/>
        <v>-69204.12</v>
      </c>
      <c r="H181" s="9">
        <f t="shared" si="100"/>
        <v>-69204.12</v>
      </c>
      <c r="I181" s="9">
        <f t="shared" si="100"/>
        <v>-69204.12</v>
      </c>
      <c r="J181" s="9">
        <f t="shared" si="100"/>
        <v>-69204.12</v>
      </c>
      <c r="K181" s="9">
        <f t="shared" si="100"/>
        <v>-69204.12</v>
      </c>
      <c r="L181" s="9">
        <f t="shared" si="100"/>
        <v>-69204.12</v>
      </c>
      <c r="M181" s="9">
        <f t="shared" si="100"/>
        <v>-69204.12</v>
      </c>
      <c r="N181" s="9">
        <f t="shared" si="72"/>
        <v>-830449.44</v>
      </c>
    </row>
    <row r="182" spans="1:14" x14ac:dyDescent="0.25">
      <c r="A182" s="3" t="s">
        <v>189</v>
      </c>
      <c r="B182" s="9">
        <f>-90694.24</f>
        <v>-90694.24</v>
      </c>
      <c r="C182" s="9">
        <f>-65224.52</f>
        <v>-65224.52</v>
      </c>
      <c r="D182" s="9">
        <f>-55123.95</f>
        <v>-55123.95</v>
      </c>
      <c r="E182" s="9">
        <f>-78660.55</f>
        <v>-78660.55</v>
      </c>
      <c r="F182" s="9">
        <f>-55706.57</f>
        <v>-55706.57</v>
      </c>
      <c r="G182" s="9">
        <f>-107529.32</f>
        <v>-107529.32</v>
      </c>
      <c r="H182" s="9">
        <f>-60199.43</f>
        <v>-60199.43</v>
      </c>
      <c r="I182" s="9">
        <f>-55152.92</f>
        <v>-55152.92</v>
      </c>
      <c r="J182" s="9">
        <f>-70744.47</f>
        <v>-70744.47</v>
      </c>
      <c r="K182" s="9">
        <f>-69906.44</f>
        <v>-69906.44</v>
      </c>
      <c r="L182" s="9">
        <f>-50251.67</f>
        <v>-50251.67</v>
      </c>
      <c r="M182" s="9">
        <f>-49913.47</f>
        <v>-49913.47</v>
      </c>
      <c r="N182" s="9">
        <f t="shared" si="72"/>
        <v>-809107.54999999993</v>
      </c>
    </row>
    <row r="183" spans="1:14" x14ac:dyDescent="0.25">
      <c r="A183" s="3" t="s">
        <v>190</v>
      </c>
      <c r="B183" s="9">
        <f>700</f>
        <v>700</v>
      </c>
      <c r="C183" s="9">
        <f>700</f>
        <v>700</v>
      </c>
      <c r="D183" s="9">
        <f>700</f>
        <v>700</v>
      </c>
      <c r="E183" s="9">
        <f>700</f>
        <v>700</v>
      </c>
      <c r="F183" s="9">
        <f>700</f>
        <v>700</v>
      </c>
      <c r="G183" s="9">
        <f>700</f>
        <v>700</v>
      </c>
      <c r="H183" s="9">
        <f>700</f>
        <v>700</v>
      </c>
      <c r="I183" s="9">
        <f>700</f>
        <v>700</v>
      </c>
      <c r="J183" s="9">
        <f>700</f>
        <v>700</v>
      </c>
      <c r="K183" s="9">
        <f>700</f>
        <v>700</v>
      </c>
      <c r="L183" s="9">
        <f>700</f>
        <v>700</v>
      </c>
      <c r="M183" s="9">
        <f>700</f>
        <v>700</v>
      </c>
      <c r="N183" s="9">
        <f t="shared" si="72"/>
        <v>8400</v>
      </c>
    </row>
    <row r="184" spans="1:14" x14ac:dyDescent="0.25">
      <c r="A184" s="3" t="s">
        <v>191</v>
      </c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9">
        <f t="shared" si="72"/>
        <v>0</v>
      </c>
    </row>
    <row r="185" spans="1:14" x14ac:dyDescent="0.25">
      <c r="A185" s="3" t="s">
        <v>192</v>
      </c>
      <c r="B185" s="9">
        <f t="shared" ref="B185:L185" si="101">68275.43</f>
        <v>68275.429999999993</v>
      </c>
      <c r="C185" s="9">
        <f t="shared" si="101"/>
        <v>68275.429999999993</v>
      </c>
      <c r="D185" s="9">
        <f t="shared" si="101"/>
        <v>68275.429999999993</v>
      </c>
      <c r="E185" s="9">
        <f t="shared" si="101"/>
        <v>68275.429999999993</v>
      </c>
      <c r="F185" s="9">
        <f t="shared" si="101"/>
        <v>68275.429999999993</v>
      </c>
      <c r="G185" s="9">
        <f t="shared" si="101"/>
        <v>68275.429999999993</v>
      </c>
      <c r="H185" s="9">
        <f t="shared" si="101"/>
        <v>68275.429999999993</v>
      </c>
      <c r="I185" s="9">
        <f t="shared" si="101"/>
        <v>68275.429999999993</v>
      </c>
      <c r="J185" s="9">
        <f t="shared" si="101"/>
        <v>68275.429999999993</v>
      </c>
      <c r="K185" s="9">
        <f t="shared" si="101"/>
        <v>68275.429999999993</v>
      </c>
      <c r="L185" s="9">
        <f t="shared" si="101"/>
        <v>68275.429999999993</v>
      </c>
      <c r="M185" s="9">
        <f>68275.4</f>
        <v>68275.399999999994</v>
      </c>
      <c r="N185" s="9">
        <f t="shared" si="72"/>
        <v>819305.12999999977</v>
      </c>
    </row>
    <row r="186" spans="1:14" x14ac:dyDescent="0.25">
      <c r="A186" s="3" t="s">
        <v>193</v>
      </c>
      <c r="B186" s="9">
        <f>9166.63</f>
        <v>9166.6299999999992</v>
      </c>
      <c r="C186" s="9">
        <f t="shared" ref="C186:M186" si="102">9166.67</f>
        <v>9166.67</v>
      </c>
      <c r="D186" s="9">
        <f t="shared" si="102"/>
        <v>9166.67</v>
      </c>
      <c r="E186" s="9">
        <f t="shared" si="102"/>
        <v>9166.67</v>
      </c>
      <c r="F186" s="9">
        <f t="shared" si="102"/>
        <v>9166.67</v>
      </c>
      <c r="G186" s="9">
        <f t="shared" si="102"/>
        <v>9166.67</v>
      </c>
      <c r="H186" s="9">
        <f t="shared" si="102"/>
        <v>9166.67</v>
      </c>
      <c r="I186" s="9">
        <f t="shared" si="102"/>
        <v>9166.67</v>
      </c>
      <c r="J186" s="9">
        <f t="shared" si="102"/>
        <v>9166.67</v>
      </c>
      <c r="K186" s="9">
        <f t="shared" si="102"/>
        <v>9166.67</v>
      </c>
      <c r="L186" s="9">
        <f t="shared" si="102"/>
        <v>9166.67</v>
      </c>
      <c r="M186" s="9">
        <f t="shared" si="102"/>
        <v>9166.67</v>
      </c>
      <c r="N186" s="9">
        <f t="shared" si="72"/>
        <v>109999.99999999999</v>
      </c>
    </row>
    <row r="187" spans="1:14" x14ac:dyDescent="0.25">
      <c r="A187" s="3" t="s">
        <v>194</v>
      </c>
      <c r="B187" s="9">
        <f>2500</f>
        <v>2500</v>
      </c>
      <c r="C187" s="9">
        <f>2500</f>
        <v>2500</v>
      </c>
      <c r="D187" s="9">
        <f>2500</f>
        <v>2500</v>
      </c>
      <c r="E187" s="9">
        <f>2500</f>
        <v>2500</v>
      </c>
      <c r="F187" s="9">
        <f>2500</f>
        <v>2500</v>
      </c>
      <c r="G187" s="9">
        <f>2500</f>
        <v>2500</v>
      </c>
      <c r="H187" s="9">
        <f>2500</f>
        <v>2500</v>
      </c>
      <c r="I187" s="9">
        <f>2500</f>
        <v>2500</v>
      </c>
      <c r="J187" s="9">
        <f>2500</f>
        <v>2500</v>
      </c>
      <c r="K187" s="9">
        <f>2500</f>
        <v>2500</v>
      </c>
      <c r="L187" s="9">
        <f>2500</f>
        <v>2500</v>
      </c>
      <c r="M187" s="9">
        <f>2500</f>
        <v>2500</v>
      </c>
      <c r="N187" s="9">
        <f t="shared" si="72"/>
        <v>30000</v>
      </c>
    </row>
    <row r="188" spans="1:14" x14ac:dyDescent="0.25">
      <c r="A188" s="3" t="s">
        <v>195</v>
      </c>
      <c r="B188" s="9">
        <f>0</f>
        <v>0</v>
      </c>
      <c r="C188" s="9">
        <f>0</f>
        <v>0</v>
      </c>
      <c r="D188" s="9">
        <f>5500</f>
        <v>5500</v>
      </c>
      <c r="E188" s="9">
        <f>5500</f>
        <v>5500</v>
      </c>
      <c r="F188" s="9">
        <f>5500</f>
        <v>5500</v>
      </c>
      <c r="G188" s="9">
        <f>5500</f>
        <v>5500</v>
      </c>
      <c r="H188" s="9">
        <f>5500</f>
        <v>5500</v>
      </c>
      <c r="I188" s="9">
        <f>5500</f>
        <v>5500</v>
      </c>
      <c r="J188" s="9">
        <f>5500</f>
        <v>5500</v>
      </c>
      <c r="K188" s="9">
        <f>5500</f>
        <v>5500</v>
      </c>
      <c r="L188" s="9">
        <f>5500</f>
        <v>5500</v>
      </c>
      <c r="M188" s="9">
        <f>5500</f>
        <v>5500</v>
      </c>
      <c r="N188" s="9">
        <f t="shared" si="72"/>
        <v>55000</v>
      </c>
    </row>
    <row r="189" spans="1:14" x14ac:dyDescent="0.25">
      <c r="A189" s="3" t="s">
        <v>196</v>
      </c>
      <c r="B189" s="9">
        <f>6486.12</f>
        <v>6486.12</v>
      </c>
      <c r="C189" s="9">
        <f t="shared" ref="C189:M189" si="103">6486.17</f>
        <v>6486.17</v>
      </c>
      <c r="D189" s="9">
        <f t="shared" si="103"/>
        <v>6486.17</v>
      </c>
      <c r="E189" s="9">
        <f t="shared" si="103"/>
        <v>6486.17</v>
      </c>
      <c r="F189" s="9">
        <f t="shared" si="103"/>
        <v>6486.17</v>
      </c>
      <c r="G189" s="9">
        <f t="shared" si="103"/>
        <v>6486.17</v>
      </c>
      <c r="H189" s="9">
        <f t="shared" si="103"/>
        <v>6486.17</v>
      </c>
      <c r="I189" s="9">
        <f t="shared" si="103"/>
        <v>6486.17</v>
      </c>
      <c r="J189" s="9">
        <f t="shared" si="103"/>
        <v>6486.17</v>
      </c>
      <c r="K189" s="9">
        <f t="shared" si="103"/>
        <v>6486.17</v>
      </c>
      <c r="L189" s="9">
        <f t="shared" si="103"/>
        <v>6486.17</v>
      </c>
      <c r="M189" s="9">
        <f t="shared" si="103"/>
        <v>6486.17</v>
      </c>
      <c r="N189" s="9">
        <f t="shared" si="72"/>
        <v>77833.989999999991</v>
      </c>
    </row>
    <row r="190" spans="1:14" x14ac:dyDescent="0.25">
      <c r="A190" s="3" t="s">
        <v>197</v>
      </c>
      <c r="B190" s="9">
        <f>83.37</f>
        <v>83.37</v>
      </c>
      <c r="C190" s="9">
        <f t="shared" ref="C190:M190" si="104">83.33</f>
        <v>83.33</v>
      </c>
      <c r="D190" s="9">
        <f t="shared" si="104"/>
        <v>83.33</v>
      </c>
      <c r="E190" s="9">
        <f t="shared" si="104"/>
        <v>83.33</v>
      </c>
      <c r="F190" s="9">
        <f t="shared" si="104"/>
        <v>83.33</v>
      </c>
      <c r="G190" s="9">
        <f t="shared" si="104"/>
        <v>83.33</v>
      </c>
      <c r="H190" s="9">
        <f t="shared" si="104"/>
        <v>83.33</v>
      </c>
      <c r="I190" s="9">
        <f t="shared" si="104"/>
        <v>83.33</v>
      </c>
      <c r="J190" s="9">
        <f t="shared" si="104"/>
        <v>83.33</v>
      </c>
      <c r="K190" s="9">
        <f t="shared" si="104"/>
        <v>83.33</v>
      </c>
      <c r="L190" s="9">
        <f t="shared" si="104"/>
        <v>83.33</v>
      </c>
      <c r="M190" s="9">
        <f t="shared" si="104"/>
        <v>83.33</v>
      </c>
      <c r="N190" s="9">
        <f t="shared" si="72"/>
        <v>1000.0000000000001</v>
      </c>
    </row>
    <row r="191" spans="1:14" x14ac:dyDescent="0.25">
      <c r="A191" s="3" t="s">
        <v>198</v>
      </c>
      <c r="B191" s="9">
        <f>2083.37</f>
        <v>2083.37</v>
      </c>
      <c r="C191" s="9">
        <f t="shared" ref="C191:M191" si="105">2083.33</f>
        <v>2083.33</v>
      </c>
      <c r="D191" s="9">
        <f t="shared" si="105"/>
        <v>2083.33</v>
      </c>
      <c r="E191" s="9">
        <f t="shared" si="105"/>
        <v>2083.33</v>
      </c>
      <c r="F191" s="9">
        <f t="shared" si="105"/>
        <v>2083.33</v>
      </c>
      <c r="G191" s="9">
        <f t="shared" si="105"/>
        <v>2083.33</v>
      </c>
      <c r="H191" s="9">
        <f t="shared" si="105"/>
        <v>2083.33</v>
      </c>
      <c r="I191" s="9">
        <f t="shared" si="105"/>
        <v>2083.33</v>
      </c>
      <c r="J191" s="9">
        <f t="shared" si="105"/>
        <v>2083.33</v>
      </c>
      <c r="K191" s="9">
        <f t="shared" si="105"/>
        <v>2083.33</v>
      </c>
      <c r="L191" s="9">
        <f t="shared" si="105"/>
        <v>2083.33</v>
      </c>
      <c r="M191" s="9">
        <f t="shared" si="105"/>
        <v>2083.33</v>
      </c>
      <c r="N191" s="9">
        <f t="shared" si="72"/>
        <v>25000.000000000007</v>
      </c>
    </row>
    <row r="192" spans="1:14" x14ac:dyDescent="0.25">
      <c r="A192" s="3" t="s">
        <v>199</v>
      </c>
      <c r="B192" s="10">
        <f t="shared" ref="B192:M192" si="106">(((((((B184)+(B185))+(B186))+(B187))+(B188))+(B189))+(B190))+(B191)</f>
        <v>88594.919999999984</v>
      </c>
      <c r="C192" s="10">
        <f t="shared" si="106"/>
        <v>88594.93</v>
      </c>
      <c r="D192" s="10">
        <f t="shared" si="106"/>
        <v>94094.93</v>
      </c>
      <c r="E192" s="10">
        <f t="shared" si="106"/>
        <v>94094.93</v>
      </c>
      <c r="F192" s="10">
        <f t="shared" si="106"/>
        <v>94094.93</v>
      </c>
      <c r="G192" s="10">
        <f t="shared" si="106"/>
        <v>94094.93</v>
      </c>
      <c r="H192" s="10">
        <f t="shared" si="106"/>
        <v>94094.93</v>
      </c>
      <c r="I192" s="10">
        <f t="shared" si="106"/>
        <v>94094.93</v>
      </c>
      <c r="J192" s="10">
        <f t="shared" si="106"/>
        <v>94094.93</v>
      </c>
      <c r="K192" s="10">
        <f t="shared" si="106"/>
        <v>94094.93</v>
      </c>
      <c r="L192" s="10">
        <f t="shared" si="106"/>
        <v>94094.93</v>
      </c>
      <c r="M192" s="10">
        <f t="shared" si="106"/>
        <v>94094.9</v>
      </c>
      <c r="N192" s="10">
        <f t="shared" si="72"/>
        <v>1118139.1199999996</v>
      </c>
    </row>
    <row r="193" spans="1:14" x14ac:dyDescent="0.25">
      <c r="A193" s="3" t="s">
        <v>200</v>
      </c>
      <c r="B193" s="9">
        <f>833.37</f>
        <v>833.37</v>
      </c>
      <c r="C193" s="9">
        <f t="shared" ref="C193:M193" si="107">833.33</f>
        <v>833.33</v>
      </c>
      <c r="D193" s="9">
        <f t="shared" si="107"/>
        <v>833.33</v>
      </c>
      <c r="E193" s="9">
        <f t="shared" si="107"/>
        <v>833.33</v>
      </c>
      <c r="F193" s="9">
        <f t="shared" si="107"/>
        <v>833.33</v>
      </c>
      <c r="G193" s="9">
        <f t="shared" si="107"/>
        <v>833.33</v>
      </c>
      <c r="H193" s="9">
        <f t="shared" si="107"/>
        <v>833.33</v>
      </c>
      <c r="I193" s="9">
        <f t="shared" si="107"/>
        <v>833.33</v>
      </c>
      <c r="J193" s="9">
        <f t="shared" si="107"/>
        <v>833.33</v>
      </c>
      <c r="K193" s="9">
        <f t="shared" si="107"/>
        <v>833.33</v>
      </c>
      <c r="L193" s="9">
        <f t="shared" si="107"/>
        <v>833.33</v>
      </c>
      <c r="M193" s="9">
        <f t="shared" si="107"/>
        <v>833.33</v>
      </c>
      <c r="N193" s="9">
        <f t="shared" si="72"/>
        <v>10000</v>
      </c>
    </row>
    <row r="194" spans="1:14" x14ac:dyDescent="0.25">
      <c r="A194" s="3" t="s">
        <v>201</v>
      </c>
      <c r="B194" s="9">
        <f>500</f>
        <v>500</v>
      </c>
      <c r="C194" s="9">
        <f>500</f>
        <v>500</v>
      </c>
      <c r="D194" s="9">
        <f>500</f>
        <v>500</v>
      </c>
      <c r="E194" s="9">
        <f>500</f>
        <v>500</v>
      </c>
      <c r="F194" s="9">
        <f>500</f>
        <v>500</v>
      </c>
      <c r="G194" s="9">
        <f>500</f>
        <v>500</v>
      </c>
      <c r="H194" s="9">
        <f>500</f>
        <v>500</v>
      </c>
      <c r="I194" s="9">
        <f>500</f>
        <v>500</v>
      </c>
      <c r="J194" s="9">
        <f>500</f>
        <v>500</v>
      </c>
      <c r="K194" s="9">
        <f>500</f>
        <v>500</v>
      </c>
      <c r="L194" s="9">
        <f>500</f>
        <v>500</v>
      </c>
      <c r="M194" s="9">
        <f>500</f>
        <v>500</v>
      </c>
      <c r="N194" s="9">
        <f t="shared" si="72"/>
        <v>6000</v>
      </c>
    </row>
    <row r="195" spans="1:14" x14ac:dyDescent="0.25">
      <c r="A195" s="3" t="s">
        <v>202</v>
      </c>
      <c r="B195" s="9">
        <f>1291.63</f>
        <v>1291.6300000000001</v>
      </c>
      <c r="C195" s="9">
        <f t="shared" ref="C195:M195" si="108">1291.67</f>
        <v>1291.67</v>
      </c>
      <c r="D195" s="9">
        <f t="shared" si="108"/>
        <v>1291.67</v>
      </c>
      <c r="E195" s="9">
        <f t="shared" si="108"/>
        <v>1291.67</v>
      </c>
      <c r="F195" s="9">
        <f t="shared" si="108"/>
        <v>1291.67</v>
      </c>
      <c r="G195" s="9">
        <f t="shared" si="108"/>
        <v>1291.67</v>
      </c>
      <c r="H195" s="9">
        <f t="shared" si="108"/>
        <v>1291.67</v>
      </c>
      <c r="I195" s="9">
        <f t="shared" si="108"/>
        <v>1291.67</v>
      </c>
      <c r="J195" s="9">
        <f t="shared" si="108"/>
        <v>1291.67</v>
      </c>
      <c r="K195" s="9">
        <f t="shared" si="108"/>
        <v>1291.67</v>
      </c>
      <c r="L195" s="9">
        <f t="shared" si="108"/>
        <v>1291.67</v>
      </c>
      <c r="M195" s="9">
        <f t="shared" si="108"/>
        <v>1291.67</v>
      </c>
      <c r="N195" s="9">
        <f t="shared" si="72"/>
        <v>15500.000000000002</v>
      </c>
    </row>
    <row r="196" spans="1:14" x14ac:dyDescent="0.25">
      <c r="A196" s="3" t="s">
        <v>203</v>
      </c>
      <c r="B196" s="9">
        <f t="shared" ref="B196:L196" si="109">3820.83</f>
        <v>3820.83</v>
      </c>
      <c r="C196" s="9">
        <f t="shared" si="109"/>
        <v>3820.83</v>
      </c>
      <c r="D196" s="9">
        <f t="shared" si="109"/>
        <v>3820.83</v>
      </c>
      <c r="E196" s="9">
        <f t="shared" si="109"/>
        <v>3820.83</v>
      </c>
      <c r="F196" s="9">
        <f t="shared" si="109"/>
        <v>3820.83</v>
      </c>
      <c r="G196" s="9">
        <f t="shared" si="109"/>
        <v>3820.83</v>
      </c>
      <c r="H196" s="9">
        <f t="shared" si="109"/>
        <v>3820.83</v>
      </c>
      <c r="I196" s="9">
        <f t="shared" si="109"/>
        <v>3820.83</v>
      </c>
      <c r="J196" s="9">
        <f t="shared" si="109"/>
        <v>3820.83</v>
      </c>
      <c r="K196" s="9">
        <f t="shared" si="109"/>
        <v>3820.83</v>
      </c>
      <c r="L196" s="9">
        <f t="shared" si="109"/>
        <v>3820.83</v>
      </c>
      <c r="M196" s="9">
        <f>3820.87</f>
        <v>3820.87</v>
      </c>
      <c r="N196" s="9">
        <f t="shared" si="72"/>
        <v>45850.000000000015</v>
      </c>
    </row>
    <row r="197" spans="1:14" x14ac:dyDescent="0.25">
      <c r="A197" s="3" t="s">
        <v>204</v>
      </c>
      <c r="B197" s="9">
        <f>2000</f>
        <v>2000</v>
      </c>
      <c r="C197" s="9">
        <f>2000</f>
        <v>2000</v>
      </c>
      <c r="D197" s="9">
        <f>2000</f>
        <v>2000</v>
      </c>
      <c r="E197" s="9">
        <f>2000</f>
        <v>2000</v>
      </c>
      <c r="F197" s="9">
        <f>2000</f>
        <v>2000</v>
      </c>
      <c r="G197" s="9">
        <f>2000</f>
        <v>2000</v>
      </c>
      <c r="H197" s="9">
        <f>2000</f>
        <v>2000</v>
      </c>
      <c r="I197" s="9">
        <f>2000</f>
        <v>2000</v>
      </c>
      <c r="J197" s="9">
        <f>2000</f>
        <v>2000</v>
      </c>
      <c r="K197" s="9">
        <f>2000</f>
        <v>2000</v>
      </c>
      <c r="L197" s="9">
        <f>2000</f>
        <v>2000</v>
      </c>
      <c r="M197" s="9">
        <f>2000</f>
        <v>2000</v>
      </c>
      <c r="N197" s="9">
        <f t="shared" si="72"/>
        <v>24000</v>
      </c>
    </row>
    <row r="198" spans="1:14" x14ac:dyDescent="0.25">
      <c r="A198" s="3" t="s">
        <v>205</v>
      </c>
      <c r="B198" s="9">
        <f t="shared" ref="B198:L198" si="110">35.42</f>
        <v>35.42</v>
      </c>
      <c r="C198" s="9">
        <f t="shared" si="110"/>
        <v>35.42</v>
      </c>
      <c r="D198" s="9">
        <f t="shared" si="110"/>
        <v>35.42</v>
      </c>
      <c r="E198" s="9">
        <f t="shared" si="110"/>
        <v>35.42</v>
      </c>
      <c r="F198" s="9">
        <f t="shared" si="110"/>
        <v>35.42</v>
      </c>
      <c r="G198" s="9">
        <f t="shared" si="110"/>
        <v>35.42</v>
      </c>
      <c r="H198" s="9">
        <f t="shared" si="110"/>
        <v>35.42</v>
      </c>
      <c r="I198" s="9">
        <f t="shared" si="110"/>
        <v>35.42</v>
      </c>
      <c r="J198" s="9">
        <f t="shared" si="110"/>
        <v>35.42</v>
      </c>
      <c r="K198" s="9">
        <f t="shared" si="110"/>
        <v>35.42</v>
      </c>
      <c r="L198" s="9">
        <f t="shared" si="110"/>
        <v>35.42</v>
      </c>
      <c r="M198" s="9">
        <f>35.38</f>
        <v>35.380000000000003</v>
      </c>
      <c r="N198" s="9">
        <f t="shared" si="72"/>
        <v>425.00000000000011</v>
      </c>
    </row>
    <row r="199" spans="1:14" x14ac:dyDescent="0.25">
      <c r="A199" s="3" t="s">
        <v>206</v>
      </c>
      <c r="B199" s="9">
        <f>0</f>
        <v>0</v>
      </c>
      <c r="C199" s="9">
        <f>0</f>
        <v>0</v>
      </c>
      <c r="D199" s="9">
        <f>0</f>
        <v>0</v>
      </c>
      <c r="E199" s="9">
        <f>0</f>
        <v>0</v>
      </c>
      <c r="F199" s="9">
        <f>0</f>
        <v>0</v>
      </c>
      <c r="G199" s="9">
        <f>0</f>
        <v>0</v>
      </c>
      <c r="H199" s="9">
        <f>0</f>
        <v>0</v>
      </c>
      <c r="I199" s="9">
        <f>0</f>
        <v>0</v>
      </c>
      <c r="J199" s="9">
        <f>0</f>
        <v>0</v>
      </c>
      <c r="K199" s="9">
        <f>0</f>
        <v>0</v>
      </c>
      <c r="L199" s="9">
        <f>0</f>
        <v>0</v>
      </c>
      <c r="M199" s="9">
        <f>3500</f>
        <v>3500</v>
      </c>
      <c r="N199" s="9">
        <f t="shared" ref="N199:N262" si="111">(((((((((((B199)+(C199))+(D199))+(E199))+(F199))+(G199))+(H199))+(I199))+(J199))+(K199))+(L199))+(M199)</f>
        <v>3500</v>
      </c>
    </row>
    <row r="200" spans="1:14" x14ac:dyDescent="0.25">
      <c r="A200" s="3" t="s">
        <v>207</v>
      </c>
      <c r="B200" s="9">
        <f>6083.37</f>
        <v>6083.37</v>
      </c>
      <c r="C200" s="9">
        <f t="shared" ref="C200:M200" si="112">6083.33</f>
        <v>6083.33</v>
      </c>
      <c r="D200" s="9">
        <f t="shared" si="112"/>
        <v>6083.33</v>
      </c>
      <c r="E200" s="9">
        <f t="shared" si="112"/>
        <v>6083.33</v>
      </c>
      <c r="F200" s="9">
        <f t="shared" si="112"/>
        <v>6083.33</v>
      </c>
      <c r="G200" s="9">
        <f t="shared" si="112"/>
        <v>6083.33</v>
      </c>
      <c r="H200" s="9">
        <f t="shared" si="112"/>
        <v>6083.33</v>
      </c>
      <c r="I200" s="9">
        <f t="shared" si="112"/>
        <v>6083.33</v>
      </c>
      <c r="J200" s="9">
        <f t="shared" si="112"/>
        <v>6083.33</v>
      </c>
      <c r="K200" s="9">
        <f t="shared" si="112"/>
        <v>6083.33</v>
      </c>
      <c r="L200" s="9">
        <f t="shared" si="112"/>
        <v>6083.33</v>
      </c>
      <c r="M200" s="9">
        <f t="shared" si="112"/>
        <v>6083.33</v>
      </c>
      <c r="N200" s="9">
        <f t="shared" si="111"/>
        <v>73000.000000000015</v>
      </c>
    </row>
    <row r="201" spans="1:14" x14ac:dyDescent="0.25">
      <c r="A201" s="3" t="s">
        <v>208</v>
      </c>
      <c r="B201" s="9">
        <f>416.63</f>
        <v>416.63</v>
      </c>
      <c r="C201" s="9">
        <f t="shared" ref="C201:M201" si="113">416.67</f>
        <v>416.67</v>
      </c>
      <c r="D201" s="9">
        <f t="shared" si="113"/>
        <v>416.67</v>
      </c>
      <c r="E201" s="9">
        <f t="shared" si="113"/>
        <v>416.67</v>
      </c>
      <c r="F201" s="9">
        <f t="shared" si="113"/>
        <v>416.67</v>
      </c>
      <c r="G201" s="9">
        <f t="shared" si="113"/>
        <v>416.67</v>
      </c>
      <c r="H201" s="9">
        <f t="shared" si="113"/>
        <v>416.67</v>
      </c>
      <c r="I201" s="9">
        <f t="shared" si="113"/>
        <v>416.67</v>
      </c>
      <c r="J201" s="9">
        <f t="shared" si="113"/>
        <v>416.67</v>
      </c>
      <c r="K201" s="9">
        <f t="shared" si="113"/>
        <v>416.67</v>
      </c>
      <c r="L201" s="9">
        <f t="shared" si="113"/>
        <v>416.67</v>
      </c>
      <c r="M201" s="9">
        <f t="shared" si="113"/>
        <v>416.67</v>
      </c>
      <c r="N201" s="9">
        <f t="shared" si="111"/>
        <v>5000</v>
      </c>
    </row>
    <row r="202" spans="1:14" x14ac:dyDescent="0.25">
      <c r="A202" s="3" t="s">
        <v>209</v>
      </c>
      <c r="B202" s="9">
        <f>7833.37</f>
        <v>7833.37</v>
      </c>
      <c r="C202" s="9">
        <f t="shared" ref="C202:M202" si="114">7833.33</f>
        <v>7833.33</v>
      </c>
      <c r="D202" s="9">
        <f t="shared" si="114"/>
        <v>7833.33</v>
      </c>
      <c r="E202" s="9">
        <f t="shared" si="114"/>
        <v>7833.33</v>
      </c>
      <c r="F202" s="9">
        <f t="shared" si="114"/>
        <v>7833.33</v>
      </c>
      <c r="G202" s="9">
        <f t="shared" si="114"/>
        <v>7833.33</v>
      </c>
      <c r="H202" s="9">
        <f t="shared" si="114"/>
        <v>7833.33</v>
      </c>
      <c r="I202" s="9">
        <f t="shared" si="114"/>
        <v>7833.33</v>
      </c>
      <c r="J202" s="9">
        <f t="shared" si="114"/>
        <v>7833.33</v>
      </c>
      <c r="K202" s="9">
        <f t="shared" si="114"/>
        <v>7833.33</v>
      </c>
      <c r="L202" s="9">
        <f t="shared" si="114"/>
        <v>7833.33</v>
      </c>
      <c r="M202" s="9">
        <f t="shared" si="114"/>
        <v>7833.33</v>
      </c>
      <c r="N202" s="9">
        <f t="shared" si="111"/>
        <v>94000.000000000015</v>
      </c>
    </row>
    <row r="203" spans="1:14" x14ac:dyDescent="0.25">
      <c r="A203" s="3" t="s">
        <v>210</v>
      </c>
      <c r="B203" s="9">
        <f>2333.37</f>
        <v>2333.37</v>
      </c>
      <c r="C203" s="9">
        <f t="shared" ref="C203:M203" si="115">2333.33</f>
        <v>2333.33</v>
      </c>
      <c r="D203" s="9">
        <f t="shared" si="115"/>
        <v>2333.33</v>
      </c>
      <c r="E203" s="9">
        <f t="shared" si="115"/>
        <v>2333.33</v>
      </c>
      <c r="F203" s="9">
        <f t="shared" si="115"/>
        <v>2333.33</v>
      </c>
      <c r="G203" s="9">
        <f t="shared" si="115"/>
        <v>2333.33</v>
      </c>
      <c r="H203" s="9">
        <f t="shared" si="115"/>
        <v>2333.33</v>
      </c>
      <c r="I203" s="9">
        <f t="shared" si="115"/>
        <v>2333.33</v>
      </c>
      <c r="J203" s="9">
        <f t="shared" si="115"/>
        <v>2333.33</v>
      </c>
      <c r="K203" s="9">
        <f t="shared" si="115"/>
        <v>2333.33</v>
      </c>
      <c r="L203" s="9">
        <f t="shared" si="115"/>
        <v>2333.33</v>
      </c>
      <c r="M203" s="9">
        <f t="shared" si="115"/>
        <v>2333.33</v>
      </c>
      <c r="N203" s="9">
        <f t="shared" si="111"/>
        <v>28000.000000000007</v>
      </c>
    </row>
    <row r="204" spans="1:14" x14ac:dyDescent="0.25">
      <c r="A204" s="3" t="s">
        <v>211</v>
      </c>
      <c r="B204" s="10">
        <f t="shared" ref="B204:M204" si="116">(B202)+(B203)</f>
        <v>10166.74</v>
      </c>
      <c r="C204" s="10">
        <f t="shared" si="116"/>
        <v>10166.66</v>
      </c>
      <c r="D204" s="10">
        <f t="shared" si="116"/>
        <v>10166.66</v>
      </c>
      <c r="E204" s="10">
        <f t="shared" si="116"/>
        <v>10166.66</v>
      </c>
      <c r="F204" s="10">
        <f t="shared" si="116"/>
        <v>10166.66</v>
      </c>
      <c r="G204" s="10">
        <f t="shared" si="116"/>
        <v>10166.66</v>
      </c>
      <c r="H204" s="10">
        <f t="shared" si="116"/>
        <v>10166.66</v>
      </c>
      <c r="I204" s="10">
        <f t="shared" si="116"/>
        <v>10166.66</v>
      </c>
      <c r="J204" s="10">
        <f t="shared" si="116"/>
        <v>10166.66</v>
      </c>
      <c r="K204" s="10">
        <f t="shared" si="116"/>
        <v>10166.66</v>
      </c>
      <c r="L204" s="10">
        <f t="shared" si="116"/>
        <v>10166.66</v>
      </c>
      <c r="M204" s="10">
        <f t="shared" si="116"/>
        <v>10166.66</v>
      </c>
      <c r="N204" s="10">
        <f t="shared" si="111"/>
        <v>122000.00000000003</v>
      </c>
    </row>
    <row r="205" spans="1:14" x14ac:dyDescent="0.25">
      <c r="A205" s="3" t="s">
        <v>212</v>
      </c>
      <c r="B205" s="9">
        <f>1100</f>
        <v>1100</v>
      </c>
      <c r="C205" s="9">
        <f>1100</f>
        <v>1100</v>
      </c>
      <c r="D205" s="9">
        <f>1100</f>
        <v>1100</v>
      </c>
      <c r="E205" s="9">
        <f>1100</f>
        <v>1100</v>
      </c>
      <c r="F205" s="9">
        <f>1100</f>
        <v>1100</v>
      </c>
      <c r="G205" s="9">
        <f>1100</f>
        <v>1100</v>
      </c>
      <c r="H205" s="9">
        <f>1100</f>
        <v>1100</v>
      </c>
      <c r="I205" s="9">
        <f>1100</f>
        <v>1100</v>
      </c>
      <c r="J205" s="9">
        <f>1100</f>
        <v>1100</v>
      </c>
      <c r="K205" s="9">
        <f>1100</f>
        <v>1100</v>
      </c>
      <c r="L205" s="9">
        <f>1100</f>
        <v>1100</v>
      </c>
      <c r="M205" s="9">
        <f>1100</f>
        <v>1100</v>
      </c>
      <c r="N205" s="9">
        <f t="shared" si="111"/>
        <v>13200</v>
      </c>
    </row>
    <row r="206" spans="1:14" x14ac:dyDescent="0.25">
      <c r="A206" s="3" t="s">
        <v>213</v>
      </c>
      <c r="B206" s="9">
        <f>500</f>
        <v>500</v>
      </c>
      <c r="C206" s="9">
        <f>500</f>
        <v>500</v>
      </c>
      <c r="D206" s="9">
        <f>500</f>
        <v>500</v>
      </c>
      <c r="E206" s="9">
        <f>500</f>
        <v>500</v>
      </c>
      <c r="F206" s="9">
        <f>500</f>
        <v>500</v>
      </c>
      <c r="G206" s="9">
        <f>500</f>
        <v>500</v>
      </c>
      <c r="H206" s="9">
        <f>500</f>
        <v>500</v>
      </c>
      <c r="I206" s="9">
        <f>500</f>
        <v>500</v>
      </c>
      <c r="J206" s="9">
        <f>500</f>
        <v>500</v>
      </c>
      <c r="K206" s="9">
        <f>500</f>
        <v>500</v>
      </c>
      <c r="L206" s="9">
        <f>500</f>
        <v>500</v>
      </c>
      <c r="M206" s="9">
        <f>500</f>
        <v>500</v>
      </c>
      <c r="N206" s="9">
        <f t="shared" si="111"/>
        <v>6000</v>
      </c>
    </row>
    <row r="207" spans="1:14" x14ac:dyDescent="0.25">
      <c r="A207" s="3" t="s">
        <v>214</v>
      </c>
      <c r="B207" s="9">
        <f>483.37</f>
        <v>483.37</v>
      </c>
      <c r="C207" s="9">
        <f t="shared" ref="C207:M207" si="117">483.33</f>
        <v>483.33</v>
      </c>
      <c r="D207" s="9">
        <f t="shared" si="117"/>
        <v>483.33</v>
      </c>
      <c r="E207" s="9">
        <f t="shared" si="117"/>
        <v>483.33</v>
      </c>
      <c r="F207" s="9">
        <f t="shared" si="117"/>
        <v>483.33</v>
      </c>
      <c r="G207" s="9">
        <f t="shared" si="117"/>
        <v>483.33</v>
      </c>
      <c r="H207" s="9">
        <f t="shared" si="117"/>
        <v>483.33</v>
      </c>
      <c r="I207" s="9">
        <f t="shared" si="117"/>
        <v>483.33</v>
      </c>
      <c r="J207" s="9">
        <f t="shared" si="117"/>
        <v>483.33</v>
      </c>
      <c r="K207" s="9">
        <f t="shared" si="117"/>
        <v>483.33</v>
      </c>
      <c r="L207" s="9">
        <f t="shared" si="117"/>
        <v>483.33</v>
      </c>
      <c r="M207" s="9">
        <f t="shared" si="117"/>
        <v>483.33</v>
      </c>
      <c r="N207" s="9">
        <f t="shared" si="111"/>
        <v>5800</v>
      </c>
    </row>
    <row r="208" spans="1:14" x14ac:dyDescent="0.25">
      <c r="A208" s="3" t="s">
        <v>215</v>
      </c>
      <c r="B208" s="9">
        <f>5000</f>
        <v>5000</v>
      </c>
      <c r="C208" s="9">
        <f>5000</f>
        <v>5000</v>
      </c>
      <c r="D208" s="9">
        <f>5000</f>
        <v>5000</v>
      </c>
      <c r="E208" s="9">
        <f>5000</f>
        <v>5000</v>
      </c>
      <c r="F208" s="9">
        <f>5000</f>
        <v>5000</v>
      </c>
      <c r="G208" s="9">
        <f>5000</f>
        <v>5000</v>
      </c>
      <c r="H208" s="9">
        <f>5000</f>
        <v>5000</v>
      </c>
      <c r="I208" s="9">
        <f>5000</f>
        <v>5000</v>
      </c>
      <c r="J208" s="9">
        <f>5000</f>
        <v>5000</v>
      </c>
      <c r="K208" s="9">
        <f>5000</f>
        <v>5000</v>
      </c>
      <c r="L208" s="9">
        <f>5000</f>
        <v>5000</v>
      </c>
      <c r="M208" s="9">
        <f>5000</f>
        <v>5000</v>
      </c>
      <c r="N208" s="9">
        <f t="shared" si="111"/>
        <v>60000</v>
      </c>
    </row>
    <row r="209" spans="1:14" x14ac:dyDescent="0.25">
      <c r="A209" s="3" t="s">
        <v>216</v>
      </c>
      <c r="B209" s="9">
        <f>1666.63</f>
        <v>1666.63</v>
      </c>
      <c r="C209" s="9">
        <f t="shared" ref="C209:M209" si="118">1666.67</f>
        <v>1666.67</v>
      </c>
      <c r="D209" s="9">
        <f t="shared" si="118"/>
        <v>1666.67</v>
      </c>
      <c r="E209" s="9">
        <f t="shared" si="118"/>
        <v>1666.67</v>
      </c>
      <c r="F209" s="9">
        <f t="shared" si="118"/>
        <v>1666.67</v>
      </c>
      <c r="G209" s="9">
        <f t="shared" si="118"/>
        <v>1666.67</v>
      </c>
      <c r="H209" s="9">
        <f t="shared" si="118"/>
        <v>1666.67</v>
      </c>
      <c r="I209" s="9">
        <f t="shared" si="118"/>
        <v>1666.67</v>
      </c>
      <c r="J209" s="9">
        <f t="shared" si="118"/>
        <v>1666.67</v>
      </c>
      <c r="K209" s="9">
        <f t="shared" si="118"/>
        <v>1666.67</v>
      </c>
      <c r="L209" s="9">
        <f t="shared" si="118"/>
        <v>1666.67</v>
      </c>
      <c r="M209" s="9">
        <f t="shared" si="118"/>
        <v>1666.67</v>
      </c>
      <c r="N209" s="9">
        <f t="shared" si="111"/>
        <v>20000</v>
      </c>
    </row>
    <row r="210" spans="1:14" x14ac:dyDescent="0.25">
      <c r="A210" s="3" t="s">
        <v>217</v>
      </c>
      <c r="B210" s="10">
        <f t="shared" ref="B210:M210" si="119">(B208)+(B209)</f>
        <v>6666.63</v>
      </c>
      <c r="C210" s="10">
        <f t="shared" si="119"/>
        <v>6666.67</v>
      </c>
      <c r="D210" s="10">
        <f t="shared" si="119"/>
        <v>6666.67</v>
      </c>
      <c r="E210" s="10">
        <f t="shared" si="119"/>
        <v>6666.67</v>
      </c>
      <c r="F210" s="10">
        <f t="shared" si="119"/>
        <v>6666.67</v>
      </c>
      <c r="G210" s="10">
        <f t="shared" si="119"/>
        <v>6666.67</v>
      </c>
      <c r="H210" s="10">
        <f t="shared" si="119"/>
        <v>6666.67</v>
      </c>
      <c r="I210" s="10">
        <f t="shared" si="119"/>
        <v>6666.67</v>
      </c>
      <c r="J210" s="10">
        <f t="shared" si="119"/>
        <v>6666.67</v>
      </c>
      <c r="K210" s="10">
        <f t="shared" si="119"/>
        <v>6666.67</v>
      </c>
      <c r="L210" s="10">
        <f t="shared" si="119"/>
        <v>6666.67</v>
      </c>
      <c r="M210" s="10">
        <f t="shared" si="119"/>
        <v>6666.67</v>
      </c>
      <c r="N210" s="10">
        <f t="shared" si="111"/>
        <v>79999.999999999985</v>
      </c>
    </row>
    <row r="211" spans="1:14" x14ac:dyDescent="0.25">
      <c r="A211" s="3" t="s">
        <v>218</v>
      </c>
      <c r="B211" s="9">
        <f>2166.63</f>
        <v>2166.63</v>
      </c>
      <c r="C211" s="9">
        <f t="shared" ref="C211:M211" si="120">2166.67</f>
        <v>2166.67</v>
      </c>
      <c r="D211" s="9">
        <f t="shared" si="120"/>
        <v>2166.67</v>
      </c>
      <c r="E211" s="9">
        <f t="shared" si="120"/>
        <v>2166.67</v>
      </c>
      <c r="F211" s="9">
        <f t="shared" si="120"/>
        <v>2166.67</v>
      </c>
      <c r="G211" s="9">
        <f t="shared" si="120"/>
        <v>2166.67</v>
      </c>
      <c r="H211" s="9">
        <f t="shared" si="120"/>
        <v>2166.67</v>
      </c>
      <c r="I211" s="9">
        <f t="shared" si="120"/>
        <v>2166.67</v>
      </c>
      <c r="J211" s="9">
        <f t="shared" si="120"/>
        <v>2166.67</v>
      </c>
      <c r="K211" s="9">
        <f t="shared" si="120"/>
        <v>2166.67</v>
      </c>
      <c r="L211" s="9">
        <f t="shared" si="120"/>
        <v>2166.67</v>
      </c>
      <c r="M211" s="9">
        <f t="shared" si="120"/>
        <v>2166.67</v>
      </c>
      <c r="N211" s="9">
        <f t="shared" si="111"/>
        <v>25999.999999999993</v>
      </c>
    </row>
    <row r="212" spans="1:14" x14ac:dyDescent="0.25">
      <c r="A212" s="3" t="s">
        <v>219</v>
      </c>
      <c r="B212" s="9">
        <f>2583.37</f>
        <v>2583.37</v>
      </c>
      <c r="C212" s="9">
        <f t="shared" ref="C212:M212" si="121">2583.33</f>
        <v>2583.33</v>
      </c>
      <c r="D212" s="9">
        <f t="shared" si="121"/>
        <v>2583.33</v>
      </c>
      <c r="E212" s="9">
        <f t="shared" si="121"/>
        <v>2583.33</v>
      </c>
      <c r="F212" s="9">
        <f t="shared" si="121"/>
        <v>2583.33</v>
      </c>
      <c r="G212" s="9">
        <f t="shared" si="121"/>
        <v>2583.33</v>
      </c>
      <c r="H212" s="9">
        <f t="shared" si="121"/>
        <v>2583.33</v>
      </c>
      <c r="I212" s="9">
        <f t="shared" si="121"/>
        <v>2583.33</v>
      </c>
      <c r="J212" s="9">
        <f t="shared" si="121"/>
        <v>2583.33</v>
      </c>
      <c r="K212" s="9">
        <f t="shared" si="121"/>
        <v>2583.33</v>
      </c>
      <c r="L212" s="9">
        <f t="shared" si="121"/>
        <v>2583.33</v>
      </c>
      <c r="M212" s="9">
        <f t="shared" si="121"/>
        <v>2583.33</v>
      </c>
      <c r="N212" s="9">
        <f t="shared" si="111"/>
        <v>31000.000000000007</v>
      </c>
    </row>
    <row r="213" spans="1:14" x14ac:dyDescent="0.25">
      <c r="A213" s="3" t="s">
        <v>220</v>
      </c>
      <c r="B213" s="9">
        <f>8833.37</f>
        <v>8833.3700000000008</v>
      </c>
      <c r="C213" s="9">
        <f t="shared" ref="C213:M213" si="122">8833.33</f>
        <v>8833.33</v>
      </c>
      <c r="D213" s="9">
        <f t="shared" si="122"/>
        <v>8833.33</v>
      </c>
      <c r="E213" s="9">
        <f t="shared" si="122"/>
        <v>8833.33</v>
      </c>
      <c r="F213" s="9">
        <f t="shared" si="122"/>
        <v>8833.33</v>
      </c>
      <c r="G213" s="9">
        <f t="shared" si="122"/>
        <v>8833.33</v>
      </c>
      <c r="H213" s="9">
        <f t="shared" si="122"/>
        <v>8833.33</v>
      </c>
      <c r="I213" s="9">
        <f t="shared" si="122"/>
        <v>8833.33</v>
      </c>
      <c r="J213" s="9">
        <f t="shared" si="122"/>
        <v>8833.33</v>
      </c>
      <c r="K213" s="9">
        <f t="shared" si="122"/>
        <v>8833.33</v>
      </c>
      <c r="L213" s="9">
        <f t="shared" si="122"/>
        <v>8833.33</v>
      </c>
      <c r="M213" s="9">
        <f t="shared" si="122"/>
        <v>8833.33</v>
      </c>
      <c r="N213" s="9">
        <f t="shared" si="111"/>
        <v>106000.00000000001</v>
      </c>
    </row>
    <row r="214" spans="1:14" x14ac:dyDescent="0.25">
      <c r="A214" s="3" t="s">
        <v>221</v>
      </c>
      <c r="B214" s="9">
        <f>83.37</f>
        <v>83.37</v>
      </c>
      <c r="C214" s="9">
        <f t="shared" ref="C214:M214" si="123">83.33</f>
        <v>83.33</v>
      </c>
      <c r="D214" s="9">
        <f t="shared" si="123"/>
        <v>83.33</v>
      </c>
      <c r="E214" s="9">
        <f t="shared" si="123"/>
        <v>83.33</v>
      </c>
      <c r="F214" s="9">
        <f t="shared" si="123"/>
        <v>83.33</v>
      </c>
      <c r="G214" s="9">
        <f t="shared" si="123"/>
        <v>83.33</v>
      </c>
      <c r="H214" s="9">
        <f t="shared" si="123"/>
        <v>83.33</v>
      </c>
      <c r="I214" s="9">
        <f t="shared" si="123"/>
        <v>83.33</v>
      </c>
      <c r="J214" s="9">
        <f t="shared" si="123"/>
        <v>83.33</v>
      </c>
      <c r="K214" s="9">
        <f t="shared" si="123"/>
        <v>83.33</v>
      </c>
      <c r="L214" s="9">
        <f t="shared" si="123"/>
        <v>83.33</v>
      </c>
      <c r="M214" s="9">
        <f t="shared" si="123"/>
        <v>83.33</v>
      </c>
      <c r="N214" s="9">
        <f t="shared" si="111"/>
        <v>1000.0000000000001</v>
      </c>
    </row>
    <row r="215" spans="1:14" x14ac:dyDescent="0.25">
      <c r="A215" s="3" t="s">
        <v>222</v>
      </c>
      <c r="B215" s="9">
        <f>41.63</f>
        <v>41.63</v>
      </c>
      <c r="C215" s="9">
        <f t="shared" ref="C215:M215" si="124">41.67</f>
        <v>41.67</v>
      </c>
      <c r="D215" s="9">
        <f t="shared" si="124"/>
        <v>41.67</v>
      </c>
      <c r="E215" s="9">
        <f t="shared" si="124"/>
        <v>41.67</v>
      </c>
      <c r="F215" s="9">
        <f t="shared" si="124"/>
        <v>41.67</v>
      </c>
      <c r="G215" s="9">
        <f t="shared" si="124"/>
        <v>41.67</v>
      </c>
      <c r="H215" s="9">
        <f t="shared" si="124"/>
        <v>41.67</v>
      </c>
      <c r="I215" s="9">
        <f t="shared" si="124"/>
        <v>41.67</v>
      </c>
      <c r="J215" s="9">
        <f t="shared" si="124"/>
        <v>41.67</v>
      </c>
      <c r="K215" s="9">
        <f t="shared" si="124"/>
        <v>41.67</v>
      </c>
      <c r="L215" s="9">
        <f t="shared" si="124"/>
        <v>41.67</v>
      </c>
      <c r="M215" s="9">
        <f t="shared" si="124"/>
        <v>41.67</v>
      </c>
      <c r="N215" s="9">
        <f t="shared" si="111"/>
        <v>500.00000000000011</v>
      </c>
    </row>
    <row r="216" spans="1:14" x14ac:dyDescent="0.25">
      <c r="A216" s="3" t="s">
        <v>223</v>
      </c>
      <c r="B216" s="9">
        <f>416.63</f>
        <v>416.63</v>
      </c>
      <c r="C216" s="9">
        <f t="shared" ref="C216:M216" si="125">416.67</f>
        <v>416.67</v>
      </c>
      <c r="D216" s="9">
        <f t="shared" si="125"/>
        <v>416.67</v>
      </c>
      <c r="E216" s="9">
        <f t="shared" si="125"/>
        <v>416.67</v>
      </c>
      <c r="F216" s="9">
        <f t="shared" si="125"/>
        <v>416.67</v>
      </c>
      <c r="G216" s="9">
        <f t="shared" si="125"/>
        <v>416.67</v>
      </c>
      <c r="H216" s="9">
        <f t="shared" si="125"/>
        <v>416.67</v>
      </c>
      <c r="I216" s="9">
        <f t="shared" si="125"/>
        <v>416.67</v>
      </c>
      <c r="J216" s="9">
        <f t="shared" si="125"/>
        <v>416.67</v>
      </c>
      <c r="K216" s="9">
        <f t="shared" si="125"/>
        <v>416.67</v>
      </c>
      <c r="L216" s="9">
        <f t="shared" si="125"/>
        <v>416.67</v>
      </c>
      <c r="M216" s="9">
        <f t="shared" si="125"/>
        <v>416.67</v>
      </c>
      <c r="N216" s="9">
        <f t="shared" si="111"/>
        <v>5000</v>
      </c>
    </row>
    <row r="217" spans="1:14" x14ac:dyDescent="0.25">
      <c r="A217" s="3" t="s">
        <v>224</v>
      </c>
      <c r="B217" s="9">
        <f>1083.37</f>
        <v>1083.3699999999999</v>
      </c>
      <c r="C217" s="9">
        <f t="shared" ref="C217:M217" si="126">1083.33</f>
        <v>1083.33</v>
      </c>
      <c r="D217" s="9">
        <f t="shared" si="126"/>
        <v>1083.33</v>
      </c>
      <c r="E217" s="9">
        <f t="shared" si="126"/>
        <v>1083.33</v>
      </c>
      <c r="F217" s="9">
        <f t="shared" si="126"/>
        <v>1083.33</v>
      </c>
      <c r="G217" s="9">
        <f t="shared" si="126"/>
        <v>1083.33</v>
      </c>
      <c r="H217" s="9">
        <f t="shared" si="126"/>
        <v>1083.33</v>
      </c>
      <c r="I217" s="9">
        <f t="shared" si="126"/>
        <v>1083.33</v>
      </c>
      <c r="J217" s="9">
        <f t="shared" si="126"/>
        <v>1083.33</v>
      </c>
      <c r="K217" s="9">
        <f t="shared" si="126"/>
        <v>1083.33</v>
      </c>
      <c r="L217" s="9">
        <f t="shared" si="126"/>
        <v>1083.33</v>
      </c>
      <c r="M217" s="9">
        <f t="shared" si="126"/>
        <v>1083.33</v>
      </c>
      <c r="N217" s="9">
        <f t="shared" si="111"/>
        <v>13000</v>
      </c>
    </row>
    <row r="218" spans="1:14" x14ac:dyDescent="0.25">
      <c r="A218" s="3" t="s">
        <v>225</v>
      </c>
      <c r="B218" s="9">
        <f>2833.37</f>
        <v>2833.37</v>
      </c>
      <c r="C218" s="9">
        <f t="shared" ref="C218:M218" si="127">2833.33</f>
        <v>2833.33</v>
      </c>
      <c r="D218" s="9">
        <f t="shared" si="127"/>
        <v>2833.33</v>
      </c>
      <c r="E218" s="9">
        <f t="shared" si="127"/>
        <v>2833.33</v>
      </c>
      <c r="F218" s="9">
        <f t="shared" si="127"/>
        <v>2833.33</v>
      </c>
      <c r="G218" s="9">
        <f t="shared" si="127"/>
        <v>2833.33</v>
      </c>
      <c r="H218" s="9">
        <f t="shared" si="127"/>
        <v>2833.33</v>
      </c>
      <c r="I218" s="9">
        <f t="shared" si="127"/>
        <v>2833.33</v>
      </c>
      <c r="J218" s="9">
        <f t="shared" si="127"/>
        <v>2833.33</v>
      </c>
      <c r="K218" s="9">
        <f t="shared" si="127"/>
        <v>2833.33</v>
      </c>
      <c r="L218" s="9">
        <f t="shared" si="127"/>
        <v>2833.33</v>
      </c>
      <c r="M218" s="9">
        <f t="shared" si="127"/>
        <v>2833.33</v>
      </c>
      <c r="N218" s="9">
        <f t="shared" si="111"/>
        <v>34000.000000000007</v>
      </c>
    </row>
    <row r="219" spans="1:14" x14ac:dyDescent="0.25">
      <c r="A219" s="3" t="s">
        <v>226</v>
      </c>
      <c r="B219" s="9">
        <f>833.37</f>
        <v>833.37</v>
      </c>
      <c r="C219" s="9">
        <f t="shared" ref="C219:M219" si="128">833.33</f>
        <v>833.33</v>
      </c>
      <c r="D219" s="9">
        <f t="shared" si="128"/>
        <v>833.33</v>
      </c>
      <c r="E219" s="9">
        <f t="shared" si="128"/>
        <v>833.33</v>
      </c>
      <c r="F219" s="9">
        <f t="shared" si="128"/>
        <v>833.33</v>
      </c>
      <c r="G219" s="9">
        <f t="shared" si="128"/>
        <v>833.33</v>
      </c>
      <c r="H219" s="9">
        <f t="shared" si="128"/>
        <v>833.33</v>
      </c>
      <c r="I219" s="9">
        <f t="shared" si="128"/>
        <v>833.33</v>
      </c>
      <c r="J219" s="9">
        <f t="shared" si="128"/>
        <v>833.33</v>
      </c>
      <c r="K219" s="9">
        <f t="shared" si="128"/>
        <v>833.33</v>
      </c>
      <c r="L219" s="9">
        <f t="shared" si="128"/>
        <v>833.33</v>
      </c>
      <c r="M219" s="9">
        <f t="shared" si="128"/>
        <v>833.33</v>
      </c>
      <c r="N219" s="9">
        <f t="shared" si="111"/>
        <v>10000</v>
      </c>
    </row>
    <row r="220" spans="1:14" x14ac:dyDescent="0.25">
      <c r="A220" s="3" t="s">
        <v>227</v>
      </c>
      <c r="B220" s="9">
        <f>125</f>
        <v>125</v>
      </c>
      <c r="C220" s="9">
        <f>125</f>
        <v>125</v>
      </c>
      <c r="D220" s="9">
        <f>125</f>
        <v>125</v>
      </c>
      <c r="E220" s="9">
        <f>125</f>
        <v>125</v>
      </c>
      <c r="F220" s="9">
        <f>125</f>
        <v>125</v>
      </c>
      <c r="G220" s="9">
        <f>125</f>
        <v>125</v>
      </c>
      <c r="H220" s="9">
        <f>125</f>
        <v>125</v>
      </c>
      <c r="I220" s="9">
        <f>125</f>
        <v>125</v>
      </c>
      <c r="J220" s="9">
        <f>125</f>
        <v>125</v>
      </c>
      <c r="K220" s="9">
        <f>125</f>
        <v>125</v>
      </c>
      <c r="L220" s="9">
        <f>125</f>
        <v>125</v>
      </c>
      <c r="M220" s="9">
        <f>125</f>
        <v>125</v>
      </c>
      <c r="N220" s="9">
        <f t="shared" si="111"/>
        <v>1500</v>
      </c>
    </row>
    <row r="221" spans="1:14" x14ac:dyDescent="0.25">
      <c r="A221" s="3" t="s">
        <v>228</v>
      </c>
      <c r="B221" s="9">
        <f>13483.37</f>
        <v>13483.37</v>
      </c>
      <c r="C221" s="9">
        <f t="shared" ref="C221:M221" si="129">13483.33</f>
        <v>13483.33</v>
      </c>
      <c r="D221" s="9">
        <f t="shared" si="129"/>
        <v>13483.33</v>
      </c>
      <c r="E221" s="9">
        <f t="shared" si="129"/>
        <v>13483.33</v>
      </c>
      <c r="F221" s="9">
        <f t="shared" si="129"/>
        <v>13483.33</v>
      </c>
      <c r="G221" s="9">
        <f t="shared" si="129"/>
        <v>13483.33</v>
      </c>
      <c r="H221" s="9">
        <f t="shared" si="129"/>
        <v>13483.33</v>
      </c>
      <c r="I221" s="9">
        <f t="shared" si="129"/>
        <v>13483.33</v>
      </c>
      <c r="J221" s="9">
        <f t="shared" si="129"/>
        <v>13483.33</v>
      </c>
      <c r="K221" s="9">
        <f t="shared" si="129"/>
        <v>13483.33</v>
      </c>
      <c r="L221" s="9">
        <f t="shared" si="129"/>
        <v>13483.33</v>
      </c>
      <c r="M221" s="9">
        <f t="shared" si="129"/>
        <v>13483.33</v>
      </c>
      <c r="N221" s="9">
        <f t="shared" si="111"/>
        <v>161799.99999999997</v>
      </c>
    </row>
    <row r="222" spans="1:14" x14ac:dyDescent="0.25">
      <c r="A222" s="3" t="s">
        <v>229</v>
      </c>
      <c r="B222" s="9">
        <f>9166.63</f>
        <v>9166.6299999999992</v>
      </c>
      <c r="C222" s="9">
        <f t="shared" ref="C222:M222" si="130">9166.67</f>
        <v>9166.67</v>
      </c>
      <c r="D222" s="9">
        <f t="shared" si="130"/>
        <v>9166.67</v>
      </c>
      <c r="E222" s="9">
        <f t="shared" si="130"/>
        <v>9166.67</v>
      </c>
      <c r="F222" s="9">
        <f t="shared" si="130"/>
        <v>9166.67</v>
      </c>
      <c r="G222" s="9">
        <f t="shared" si="130"/>
        <v>9166.67</v>
      </c>
      <c r="H222" s="9">
        <f t="shared" si="130"/>
        <v>9166.67</v>
      </c>
      <c r="I222" s="9">
        <f t="shared" si="130"/>
        <v>9166.67</v>
      </c>
      <c r="J222" s="9">
        <f t="shared" si="130"/>
        <v>9166.67</v>
      </c>
      <c r="K222" s="9">
        <f t="shared" si="130"/>
        <v>9166.67</v>
      </c>
      <c r="L222" s="9">
        <f t="shared" si="130"/>
        <v>9166.67</v>
      </c>
      <c r="M222" s="9">
        <f t="shared" si="130"/>
        <v>9166.67</v>
      </c>
      <c r="N222" s="9">
        <f t="shared" si="111"/>
        <v>109999.99999999999</v>
      </c>
    </row>
    <row r="223" spans="1:14" x14ac:dyDescent="0.25">
      <c r="A223" s="3" t="s">
        <v>230</v>
      </c>
      <c r="B223" s="9">
        <f>300</f>
        <v>300</v>
      </c>
      <c r="C223" s="9">
        <f>300</f>
        <v>300</v>
      </c>
      <c r="D223" s="9">
        <f>300</f>
        <v>300</v>
      </c>
      <c r="E223" s="9">
        <f>300</f>
        <v>300</v>
      </c>
      <c r="F223" s="9">
        <f>300</f>
        <v>300</v>
      </c>
      <c r="G223" s="9">
        <f>300</f>
        <v>300</v>
      </c>
      <c r="H223" s="9">
        <f>300</f>
        <v>300</v>
      </c>
      <c r="I223" s="9">
        <f>300</f>
        <v>300</v>
      </c>
      <c r="J223" s="9">
        <f>300</f>
        <v>300</v>
      </c>
      <c r="K223" s="9">
        <f>300</f>
        <v>300</v>
      </c>
      <c r="L223" s="9">
        <f>300</f>
        <v>300</v>
      </c>
      <c r="M223" s="9">
        <f>300</f>
        <v>300</v>
      </c>
      <c r="N223" s="9">
        <f t="shared" si="111"/>
        <v>3600</v>
      </c>
    </row>
    <row r="224" spans="1:14" x14ac:dyDescent="0.25">
      <c r="A224" s="3" t="s">
        <v>231</v>
      </c>
      <c r="B224" s="9">
        <f>458.37</f>
        <v>458.37</v>
      </c>
      <c r="C224" s="9">
        <f t="shared" ref="C224:M224" si="131">458.33</f>
        <v>458.33</v>
      </c>
      <c r="D224" s="9">
        <f t="shared" si="131"/>
        <v>458.33</v>
      </c>
      <c r="E224" s="9">
        <f t="shared" si="131"/>
        <v>458.33</v>
      </c>
      <c r="F224" s="9">
        <f t="shared" si="131"/>
        <v>458.33</v>
      </c>
      <c r="G224" s="9">
        <f t="shared" si="131"/>
        <v>458.33</v>
      </c>
      <c r="H224" s="9">
        <f t="shared" si="131"/>
        <v>458.33</v>
      </c>
      <c r="I224" s="9">
        <f t="shared" si="131"/>
        <v>458.33</v>
      </c>
      <c r="J224" s="9">
        <f t="shared" si="131"/>
        <v>458.33</v>
      </c>
      <c r="K224" s="9">
        <f t="shared" si="131"/>
        <v>458.33</v>
      </c>
      <c r="L224" s="9">
        <f t="shared" si="131"/>
        <v>458.33</v>
      </c>
      <c r="M224" s="9">
        <f t="shared" si="131"/>
        <v>458.33</v>
      </c>
      <c r="N224" s="9">
        <f t="shared" si="111"/>
        <v>5500</v>
      </c>
    </row>
    <row r="225" spans="1:14" x14ac:dyDescent="0.25">
      <c r="A225" s="3" t="s">
        <v>232</v>
      </c>
      <c r="B225" s="9">
        <f>500</f>
        <v>500</v>
      </c>
      <c r="C225" s="9">
        <f>500</f>
        <v>500</v>
      </c>
      <c r="D225" s="9">
        <f>500</f>
        <v>500</v>
      </c>
      <c r="E225" s="9">
        <f>500</f>
        <v>500</v>
      </c>
      <c r="F225" s="9">
        <f>500</f>
        <v>500</v>
      </c>
      <c r="G225" s="9">
        <f>500</f>
        <v>500</v>
      </c>
      <c r="H225" s="9">
        <f>500</f>
        <v>500</v>
      </c>
      <c r="I225" s="9">
        <f>500</f>
        <v>500</v>
      </c>
      <c r="J225" s="9">
        <f>500</f>
        <v>500</v>
      </c>
      <c r="K225" s="9">
        <f>500</f>
        <v>500</v>
      </c>
      <c r="L225" s="9">
        <f>500</f>
        <v>500</v>
      </c>
      <c r="M225" s="9">
        <f>500</f>
        <v>500</v>
      </c>
      <c r="N225" s="9">
        <f t="shared" si="111"/>
        <v>6000</v>
      </c>
    </row>
    <row r="226" spans="1:14" x14ac:dyDescent="0.25">
      <c r="A226" s="3" t="s">
        <v>233</v>
      </c>
      <c r="B226" s="9">
        <f>375</f>
        <v>375</v>
      </c>
      <c r="C226" s="9">
        <f>375</f>
        <v>375</v>
      </c>
      <c r="D226" s="9">
        <f>375</f>
        <v>375</v>
      </c>
      <c r="E226" s="9">
        <f>375</f>
        <v>375</v>
      </c>
      <c r="F226" s="9">
        <f>375</f>
        <v>375</v>
      </c>
      <c r="G226" s="9">
        <f>375</f>
        <v>375</v>
      </c>
      <c r="H226" s="9">
        <f>375</f>
        <v>375</v>
      </c>
      <c r="I226" s="9">
        <f>375</f>
        <v>375</v>
      </c>
      <c r="J226" s="9">
        <f>375</f>
        <v>375</v>
      </c>
      <c r="K226" s="9">
        <f>375</f>
        <v>375</v>
      </c>
      <c r="L226" s="9">
        <f>375</f>
        <v>375</v>
      </c>
      <c r="M226" s="9">
        <f>375</f>
        <v>375</v>
      </c>
      <c r="N226" s="9">
        <f t="shared" si="111"/>
        <v>4500</v>
      </c>
    </row>
    <row r="227" spans="1:14" x14ac:dyDescent="0.25">
      <c r="A227" s="3" t="s">
        <v>234</v>
      </c>
      <c r="B227" s="9">
        <f>225</f>
        <v>225</v>
      </c>
      <c r="C227" s="9">
        <f>225</f>
        <v>225</v>
      </c>
      <c r="D227" s="9">
        <f>225</f>
        <v>225</v>
      </c>
      <c r="E227" s="9">
        <f>225</f>
        <v>225</v>
      </c>
      <c r="F227" s="9">
        <f>225</f>
        <v>225</v>
      </c>
      <c r="G227" s="9">
        <f>225</f>
        <v>225</v>
      </c>
      <c r="H227" s="9">
        <f>225</f>
        <v>225</v>
      </c>
      <c r="I227" s="9">
        <f>225</f>
        <v>225</v>
      </c>
      <c r="J227" s="9">
        <f>225</f>
        <v>225</v>
      </c>
      <c r="K227" s="9">
        <f>225</f>
        <v>225</v>
      </c>
      <c r="L227" s="9">
        <f>225</f>
        <v>225</v>
      </c>
      <c r="M227" s="9">
        <f>225</f>
        <v>225</v>
      </c>
      <c r="N227" s="9">
        <f t="shared" si="111"/>
        <v>2700</v>
      </c>
    </row>
    <row r="228" spans="1:14" x14ac:dyDescent="0.25">
      <c r="A228" s="3" t="s">
        <v>235</v>
      </c>
      <c r="B228" s="9">
        <f>208.37</f>
        <v>208.37</v>
      </c>
      <c r="C228" s="9">
        <f t="shared" ref="C228:M228" si="132">208.33</f>
        <v>208.33</v>
      </c>
      <c r="D228" s="9">
        <f t="shared" si="132"/>
        <v>208.33</v>
      </c>
      <c r="E228" s="9">
        <f t="shared" si="132"/>
        <v>208.33</v>
      </c>
      <c r="F228" s="9">
        <f t="shared" si="132"/>
        <v>208.33</v>
      </c>
      <c r="G228" s="9">
        <f t="shared" si="132"/>
        <v>208.33</v>
      </c>
      <c r="H228" s="9">
        <f t="shared" si="132"/>
        <v>208.33</v>
      </c>
      <c r="I228" s="9">
        <f t="shared" si="132"/>
        <v>208.33</v>
      </c>
      <c r="J228" s="9">
        <f t="shared" si="132"/>
        <v>208.33</v>
      </c>
      <c r="K228" s="9">
        <f t="shared" si="132"/>
        <v>208.33</v>
      </c>
      <c r="L228" s="9">
        <f t="shared" si="132"/>
        <v>208.33</v>
      </c>
      <c r="M228" s="9">
        <f t="shared" si="132"/>
        <v>208.33</v>
      </c>
      <c r="N228" s="9">
        <f t="shared" si="111"/>
        <v>2499.9999999999995</v>
      </c>
    </row>
    <row r="229" spans="1:14" x14ac:dyDescent="0.25">
      <c r="A229" s="3" t="s">
        <v>236</v>
      </c>
      <c r="B229" s="9">
        <f>166.63</f>
        <v>166.63</v>
      </c>
      <c r="C229" s="9">
        <f t="shared" ref="C229:M229" si="133">166.67</f>
        <v>166.67</v>
      </c>
      <c r="D229" s="9">
        <f t="shared" si="133"/>
        <v>166.67</v>
      </c>
      <c r="E229" s="9">
        <f t="shared" si="133"/>
        <v>166.67</v>
      </c>
      <c r="F229" s="9">
        <f t="shared" si="133"/>
        <v>166.67</v>
      </c>
      <c r="G229" s="9">
        <f t="shared" si="133"/>
        <v>166.67</v>
      </c>
      <c r="H229" s="9">
        <f t="shared" si="133"/>
        <v>166.67</v>
      </c>
      <c r="I229" s="9">
        <f t="shared" si="133"/>
        <v>166.67</v>
      </c>
      <c r="J229" s="9">
        <f t="shared" si="133"/>
        <v>166.67</v>
      </c>
      <c r="K229" s="9">
        <f t="shared" si="133"/>
        <v>166.67</v>
      </c>
      <c r="L229" s="9">
        <f t="shared" si="133"/>
        <v>166.67</v>
      </c>
      <c r="M229" s="9">
        <f t="shared" si="133"/>
        <v>166.67</v>
      </c>
      <c r="N229" s="9">
        <f t="shared" si="111"/>
        <v>2000.0000000000002</v>
      </c>
    </row>
    <row r="230" spans="1:14" x14ac:dyDescent="0.25">
      <c r="A230" s="3" t="s">
        <v>237</v>
      </c>
      <c r="B230" s="9">
        <f>15794.1</f>
        <v>15794.1</v>
      </c>
      <c r="C230" s="9">
        <f>14524.23</f>
        <v>14524.23</v>
      </c>
      <c r="D230" s="9">
        <f>15000.42</f>
        <v>15000.42</v>
      </c>
      <c r="E230" s="9">
        <f>14647.68</f>
        <v>14647.68</v>
      </c>
      <c r="F230" s="9">
        <f>15529.53</f>
        <v>15529.53</v>
      </c>
      <c r="G230" s="9">
        <f>14100.93</f>
        <v>14100.93</v>
      </c>
      <c r="H230" s="9">
        <f>13077.96</f>
        <v>13077.96</v>
      </c>
      <c r="I230" s="9">
        <f>15035.67</f>
        <v>15035.67</v>
      </c>
      <c r="J230" s="9">
        <f>14012.73</f>
        <v>14012.73</v>
      </c>
      <c r="K230" s="9">
        <f>17222.73</f>
        <v>17222.73</v>
      </c>
      <c r="L230" s="9">
        <f>16570.15</f>
        <v>16570.150000000001</v>
      </c>
      <c r="M230" s="9">
        <f>12654.71</f>
        <v>12654.71</v>
      </c>
      <c r="N230" s="9">
        <f t="shared" si="111"/>
        <v>178170.84</v>
      </c>
    </row>
    <row r="231" spans="1:14" x14ac:dyDescent="0.25">
      <c r="A231" s="3" t="s">
        <v>238</v>
      </c>
      <c r="B231" s="9">
        <f>20.87</f>
        <v>20.87</v>
      </c>
      <c r="C231" s="9">
        <f t="shared" ref="C231:M231" si="134">20.83</f>
        <v>20.83</v>
      </c>
      <c r="D231" s="9">
        <f t="shared" si="134"/>
        <v>20.83</v>
      </c>
      <c r="E231" s="9">
        <f t="shared" si="134"/>
        <v>20.83</v>
      </c>
      <c r="F231" s="9">
        <f t="shared" si="134"/>
        <v>20.83</v>
      </c>
      <c r="G231" s="9">
        <f t="shared" si="134"/>
        <v>20.83</v>
      </c>
      <c r="H231" s="9">
        <f t="shared" si="134"/>
        <v>20.83</v>
      </c>
      <c r="I231" s="9">
        <f t="shared" si="134"/>
        <v>20.83</v>
      </c>
      <c r="J231" s="9">
        <f t="shared" si="134"/>
        <v>20.83</v>
      </c>
      <c r="K231" s="9">
        <f t="shared" si="134"/>
        <v>20.83</v>
      </c>
      <c r="L231" s="9">
        <f t="shared" si="134"/>
        <v>20.83</v>
      </c>
      <c r="M231" s="9">
        <f t="shared" si="134"/>
        <v>20.83</v>
      </c>
      <c r="N231" s="9">
        <f t="shared" si="111"/>
        <v>249.99999999999994</v>
      </c>
    </row>
    <row r="232" spans="1:14" x14ac:dyDescent="0.25">
      <c r="A232" s="3" t="s">
        <v>239</v>
      </c>
      <c r="B232" s="9">
        <f>16.63</f>
        <v>16.63</v>
      </c>
      <c r="C232" s="9">
        <f t="shared" ref="C232:M232" si="135">16.67</f>
        <v>16.670000000000002</v>
      </c>
      <c r="D232" s="9">
        <f t="shared" si="135"/>
        <v>16.670000000000002</v>
      </c>
      <c r="E232" s="9">
        <f t="shared" si="135"/>
        <v>16.670000000000002</v>
      </c>
      <c r="F232" s="9">
        <f t="shared" si="135"/>
        <v>16.670000000000002</v>
      </c>
      <c r="G232" s="9">
        <f t="shared" si="135"/>
        <v>16.670000000000002</v>
      </c>
      <c r="H232" s="9">
        <f t="shared" si="135"/>
        <v>16.670000000000002</v>
      </c>
      <c r="I232" s="9">
        <f t="shared" si="135"/>
        <v>16.670000000000002</v>
      </c>
      <c r="J232" s="9">
        <f t="shared" si="135"/>
        <v>16.670000000000002</v>
      </c>
      <c r="K232" s="9">
        <f t="shared" si="135"/>
        <v>16.670000000000002</v>
      </c>
      <c r="L232" s="9">
        <f t="shared" si="135"/>
        <v>16.670000000000002</v>
      </c>
      <c r="M232" s="9">
        <f t="shared" si="135"/>
        <v>16.670000000000002</v>
      </c>
      <c r="N232" s="9">
        <f t="shared" si="111"/>
        <v>200.00000000000006</v>
      </c>
    </row>
    <row r="233" spans="1:14" x14ac:dyDescent="0.25">
      <c r="A233" s="3" t="s">
        <v>240</v>
      </c>
      <c r="B233" s="9">
        <f>1766.63</f>
        <v>1766.63</v>
      </c>
      <c r="C233" s="9">
        <f t="shared" ref="C233:M233" si="136">1766.67</f>
        <v>1766.67</v>
      </c>
      <c r="D233" s="9">
        <f t="shared" si="136"/>
        <v>1766.67</v>
      </c>
      <c r="E233" s="9">
        <f t="shared" si="136"/>
        <v>1766.67</v>
      </c>
      <c r="F233" s="9">
        <f t="shared" si="136"/>
        <v>1766.67</v>
      </c>
      <c r="G233" s="9">
        <f t="shared" si="136"/>
        <v>1766.67</v>
      </c>
      <c r="H233" s="9">
        <f t="shared" si="136"/>
        <v>1766.67</v>
      </c>
      <c r="I233" s="9">
        <f t="shared" si="136"/>
        <v>1766.67</v>
      </c>
      <c r="J233" s="9">
        <f t="shared" si="136"/>
        <v>1766.67</v>
      </c>
      <c r="K233" s="9">
        <f t="shared" si="136"/>
        <v>1766.67</v>
      </c>
      <c r="L233" s="9">
        <f t="shared" si="136"/>
        <v>1766.67</v>
      </c>
      <c r="M233" s="9">
        <f t="shared" si="136"/>
        <v>1766.67</v>
      </c>
      <c r="N233" s="9">
        <f t="shared" si="111"/>
        <v>21200</v>
      </c>
    </row>
    <row r="234" spans="1:14" x14ac:dyDescent="0.25">
      <c r="A234" s="3" t="s">
        <v>241</v>
      </c>
      <c r="B234" s="10">
        <f t="shared" ref="B234:M234" si="137">(((((((((((((((((((((((((((((((((((((((((((((((((((((B166)+(B167))+(B168))+(B169))+(B172))+(B173))+(B174))+(B175))+(B176))+(B177))+(B178))+(B179))+(B180))+(B181))+(B182))+(B183))+(B192))+(B193))+(B194))+(B195))+(B196))+(B197))+(B198))+(B199))+(B200))+(B201))+(B204))+(B205))+(B206))+(B207))+(B210))+(B211))+(B212))+(B213))+(B214))+(B215))+(B216))+(B217))+(B218))+(B219))+(B220))+(B221))+(B222))+(B223))+(B224))+(B225))+(B226))+(B227))+(B228))+(B229))+(B230))+(B231))+(B232))+(B233)</f>
        <v>42880.069999999992</v>
      </c>
      <c r="C234" s="10">
        <f t="shared" si="137"/>
        <v>67349.76999999999</v>
      </c>
      <c r="D234" s="10">
        <f t="shared" si="137"/>
        <v>83156.53</v>
      </c>
      <c r="E234" s="10">
        <f t="shared" si="137"/>
        <v>83267.189999999988</v>
      </c>
      <c r="F234" s="10">
        <f t="shared" si="137"/>
        <v>83283.02</v>
      </c>
      <c r="G234" s="10">
        <f t="shared" si="137"/>
        <v>39531.669999999969</v>
      </c>
      <c r="H234" s="10">
        <f t="shared" si="137"/>
        <v>79258.589999999982</v>
      </c>
      <c r="I234" s="10">
        <f t="shared" si="137"/>
        <v>83162.81</v>
      </c>
      <c r="J234" s="10">
        <f t="shared" si="137"/>
        <v>66548.319999999992</v>
      </c>
      <c r="K234" s="10">
        <f t="shared" si="137"/>
        <v>63366.350000000006</v>
      </c>
      <c r="L234" s="10">
        <f t="shared" si="137"/>
        <v>82098.539999999994</v>
      </c>
      <c r="M234" s="10">
        <f t="shared" si="137"/>
        <v>82025.11</v>
      </c>
      <c r="N234" s="10">
        <f t="shared" si="111"/>
        <v>855927.96999999986</v>
      </c>
    </row>
    <row r="235" spans="1:14" x14ac:dyDescent="0.25">
      <c r="A235" s="3" t="s">
        <v>242</v>
      </c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9">
        <f t="shared" si="111"/>
        <v>0</v>
      </c>
    </row>
    <row r="236" spans="1:14" x14ac:dyDescent="0.25">
      <c r="A236" s="3" t="s">
        <v>243</v>
      </c>
      <c r="B236" s="9">
        <f>35833</f>
        <v>35833</v>
      </c>
      <c r="C236" s="9">
        <f>833</f>
        <v>833</v>
      </c>
      <c r="D236" s="9">
        <f>833</f>
        <v>833</v>
      </c>
      <c r="E236" s="9">
        <f>833</f>
        <v>833</v>
      </c>
      <c r="F236" s="9">
        <f>833</f>
        <v>833</v>
      </c>
      <c r="G236" s="9">
        <f>35837</f>
        <v>35837</v>
      </c>
      <c r="H236" s="9">
        <f>833</f>
        <v>833</v>
      </c>
      <c r="I236" s="9">
        <f>833</f>
        <v>833</v>
      </c>
      <c r="J236" s="9">
        <f>833</f>
        <v>833</v>
      </c>
      <c r="K236" s="9">
        <f>833</f>
        <v>833</v>
      </c>
      <c r="L236" s="9">
        <f>833</f>
        <v>833</v>
      </c>
      <c r="M236" s="9">
        <f>833</f>
        <v>833</v>
      </c>
      <c r="N236" s="9">
        <f t="shared" si="111"/>
        <v>80000</v>
      </c>
    </row>
    <row r="237" spans="1:14" x14ac:dyDescent="0.25">
      <c r="A237" s="3" t="s">
        <v>244</v>
      </c>
      <c r="B237" s="10">
        <f t="shared" ref="B237:M237" si="138">(B235)+(B236)</f>
        <v>35833</v>
      </c>
      <c r="C237" s="10">
        <f t="shared" si="138"/>
        <v>833</v>
      </c>
      <c r="D237" s="10">
        <f t="shared" si="138"/>
        <v>833</v>
      </c>
      <c r="E237" s="10">
        <f t="shared" si="138"/>
        <v>833</v>
      </c>
      <c r="F237" s="10">
        <f t="shared" si="138"/>
        <v>833</v>
      </c>
      <c r="G237" s="10">
        <f t="shared" si="138"/>
        <v>35837</v>
      </c>
      <c r="H237" s="10">
        <f t="shared" si="138"/>
        <v>833</v>
      </c>
      <c r="I237" s="10">
        <f t="shared" si="138"/>
        <v>833</v>
      </c>
      <c r="J237" s="10">
        <f t="shared" si="138"/>
        <v>833</v>
      </c>
      <c r="K237" s="10">
        <f t="shared" si="138"/>
        <v>833</v>
      </c>
      <c r="L237" s="10">
        <f t="shared" si="138"/>
        <v>833</v>
      </c>
      <c r="M237" s="10">
        <f t="shared" si="138"/>
        <v>833</v>
      </c>
      <c r="N237" s="10">
        <f t="shared" si="111"/>
        <v>80000</v>
      </c>
    </row>
    <row r="238" spans="1:14" x14ac:dyDescent="0.25">
      <c r="A238" s="3" t="s">
        <v>245</v>
      </c>
      <c r="B238" s="10">
        <f t="shared" ref="B238:M238" si="139">((B165)+(B234))+(B237)</f>
        <v>78713.069999999992</v>
      </c>
      <c r="C238" s="10">
        <f t="shared" si="139"/>
        <v>68182.76999999999</v>
      </c>
      <c r="D238" s="10">
        <f t="shared" si="139"/>
        <v>83989.53</v>
      </c>
      <c r="E238" s="10">
        <f t="shared" si="139"/>
        <v>84100.189999999988</v>
      </c>
      <c r="F238" s="10">
        <f t="shared" si="139"/>
        <v>84116.02</v>
      </c>
      <c r="G238" s="10">
        <f t="shared" si="139"/>
        <v>75368.669999999969</v>
      </c>
      <c r="H238" s="10">
        <f t="shared" si="139"/>
        <v>80091.589999999982</v>
      </c>
      <c r="I238" s="10">
        <f t="shared" si="139"/>
        <v>83995.81</v>
      </c>
      <c r="J238" s="10">
        <f t="shared" si="139"/>
        <v>67381.319999999992</v>
      </c>
      <c r="K238" s="10">
        <f t="shared" si="139"/>
        <v>64199.350000000006</v>
      </c>
      <c r="L238" s="10">
        <f t="shared" si="139"/>
        <v>82931.539999999994</v>
      </c>
      <c r="M238" s="10">
        <f t="shared" si="139"/>
        <v>82858.11</v>
      </c>
      <c r="N238" s="10">
        <f t="shared" si="111"/>
        <v>935927.96999999986</v>
      </c>
    </row>
    <row r="239" spans="1:14" x14ac:dyDescent="0.25">
      <c r="A239" s="3" t="s">
        <v>246</v>
      </c>
      <c r="B239" s="10">
        <f t="shared" ref="B239:M239" si="140">((B140)+(B164))+(B238)</f>
        <v>113454.15999999999</v>
      </c>
      <c r="C239" s="10">
        <f t="shared" si="140"/>
        <v>106472.93</v>
      </c>
      <c r="D239" s="10">
        <f t="shared" si="140"/>
        <v>109204.38</v>
      </c>
      <c r="E239" s="10">
        <f t="shared" si="140"/>
        <v>115655.72999999998</v>
      </c>
      <c r="F239" s="10">
        <f t="shared" si="140"/>
        <v>109364.06</v>
      </c>
      <c r="G239" s="10">
        <f t="shared" si="140"/>
        <v>123568.63999999998</v>
      </c>
      <c r="H239" s="10">
        <f t="shared" si="140"/>
        <v>110595.54999999999</v>
      </c>
      <c r="I239" s="10">
        <f t="shared" si="140"/>
        <v>109212.31</v>
      </c>
      <c r="J239" s="10">
        <f t="shared" si="140"/>
        <v>113485.95</v>
      </c>
      <c r="K239" s="10">
        <f t="shared" si="140"/>
        <v>113256.24000000002</v>
      </c>
      <c r="L239" s="10">
        <f t="shared" si="140"/>
        <v>107868.85999999999</v>
      </c>
      <c r="M239" s="10">
        <f t="shared" si="140"/>
        <v>107776.15</v>
      </c>
      <c r="N239" s="10">
        <f t="shared" si="111"/>
        <v>1339914.96</v>
      </c>
    </row>
    <row r="240" spans="1:14" x14ac:dyDescent="0.25">
      <c r="A240" s="3" t="s">
        <v>247</v>
      </c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9">
        <f t="shared" si="111"/>
        <v>0</v>
      </c>
    </row>
    <row r="241" spans="1:14" x14ac:dyDescent="0.25">
      <c r="A241" s="3" t="s">
        <v>248</v>
      </c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9">
        <f t="shared" si="111"/>
        <v>0</v>
      </c>
    </row>
    <row r="242" spans="1:14" x14ac:dyDescent="0.25">
      <c r="A242" s="3" t="s">
        <v>249</v>
      </c>
      <c r="B242" s="9">
        <f>6454.2</f>
        <v>6454.2</v>
      </c>
      <c r="C242" s="9">
        <f t="shared" ref="C242:M242" si="141">6454.13</f>
        <v>6454.13</v>
      </c>
      <c r="D242" s="9">
        <f t="shared" si="141"/>
        <v>6454.13</v>
      </c>
      <c r="E242" s="9">
        <f t="shared" si="141"/>
        <v>6454.13</v>
      </c>
      <c r="F242" s="9">
        <f t="shared" si="141"/>
        <v>6454.13</v>
      </c>
      <c r="G242" s="9">
        <f t="shared" si="141"/>
        <v>6454.13</v>
      </c>
      <c r="H242" s="9">
        <f t="shared" si="141"/>
        <v>6454.13</v>
      </c>
      <c r="I242" s="9">
        <f t="shared" si="141"/>
        <v>6454.13</v>
      </c>
      <c r="J242" s="9">
        <f t="shared" si="141"/>
        <v>6454.13</v>
      </c>
      <c r="K242" s="9">
        <f t="shared" si="141"/>
        <v>6454.13</v>
      </c>
      <c r="L242" s="9">
        <f t="shared" si="141"/>
        <v>6454.13</v>
      </c>
      <c r="M242" s="9">
        <f t="shared" si="141"/>
        <v>6454.13</v>
      </c>
      <c r="N242" s="9">
        <f t="shared" si="111"/>
        <v>77449.62999999999</v>
      </c>
    </row>
    <row r="243" spans="1:14" x14ac:dyDescent="0.25">
      <c r="A243" s="3" t="s">
        <v>250</v>
      </c>
      <c r="B243" s="9">
        <f>8102.43</f>
        <v>8102.43</v>
      </c>
      <c r="C243" s="9">
        <f>5827.02</f>
        <v>5827.02</v>
      </c>
      <c r="D243" s="9">
        <f>4924.66</f>
        <v>4924.66</v>
      </c>
      <c r="E243" s="9">
        <f>7027.37</f>
        <v>7027.37</v>
      </c>
      <c r="F243" s="9">
        <f>4976.71</f>
        <v>4976.71</v>
      </c>
      <c r="G243" s="9">
        <f>9606.44</f>
        <v>9606.44</v>
      </c>
      <c r="H243" s="9">
        <f>5378.09</f>
        <v>5378.09</v>
      </c>
      <c r="I243" s="9">
        <f>4927.25</f>
        <v>4927.25</v>
      </c>
      <c r="J243" s="9">
        <f>6320.16</f>
        <v>6320.16</v>
      </c>
      <c r="K243" s="9">
        <f>6245.29</f>
        <v>6245.29</v>
      </c>
      <c r="L243" s="9">
        <f>4489.38</f>
        <v>4489.38</v>
      </c>
      <c r="M243" s="9">
        <f>4459.16</f>
        <v>4459.16</v>
      </c>
      <c r="N243" s="9">
        <f t="shared" si="111"/>
        <v>72283.960000000006</v>
      </c>
    </row>
    <row r="244" spans="1:14" x14ac:dyDescent="0.25">
      <c r="A244" s="3" t="s">
        <v>251</v>
      </c>
      <c r="B244" s="9">
        <f>166.63</f>
        <v>166.63</v>
      </c>
      <c r="C244" s="9">
        <f t="shared" ref="C244:M244" si="142">166.67</f>
        <v>166.67</v>
      </c>
      <c r="D244" s="9">
        <f t="shared" si="142"/>
        <v>166.67</v>
      </c>
      <c r="E244" s="9">
        <f t="shared" si="142"/>
        <v>166.67</v>
      </c>
      <c r="F244" s="9">
        <f t="shared" si="142"/>
        <v>166.67</v>
      </c>
      <c r="G244" s="9">
        <f t="shared" si="142"/>
        <v>166.67</v>
      </c>
      <c r="H244" s="9">
        <f t="shared" si="142"/>
        <v>166.67</v>
      </c>
      <c r="I244" s="9">
        <f t="shared" si="142"/>
        <v>166.67</v>
      </c>
      <c r="J244" s="9">
        <f t="shared" si="142"/>
        <v>166.67</v>
      </c>
      <c r="K244" s="9">
        <f t="shared" si="142"/>
        <v>166.67</v>
      </c>
      <c r="L244" s="9">
        <f t="shared" si="142"/>
        <v>166.67</v>
      </c>
      <c r="M244" s="9">
        <f t="shared" si="142"/>
        <v>166.67</v>
      </c>
      <c r="N244" s="9">
        <f t="shared" si="111"/>
        <v>2000.0000000000002</v>
      </c>
    </row>
    <row r="245" spans="1:14" x14ac:dyDescent="0.25">
      <c r="A245" s="3" t="s">
        <v>252</v>
      </c>
      <c r="B245" s="9">
        <f>400</f>
        <v>400</v>
      </c>
      <c r="C245" s="9">
        <f>400</f>
        <v>400</v>
      </c>
      <c r="D245" s="9">
        <f>400</f>
        <v>400</v>
      </c>
      <c r="E245" s="9">
        <f>400</f>
        <v>400</v>
      </c>
      <c r="F245" s="9">
        <f>400</f>
        <v>400</v>
      </c>
      <c r="G245" s="9">
        <f>400</f>
        <v>400</v>
      </c>
      <c r="H245" s="9">
        <f>400</f>
        <v>400</v>
      </c>
      <c r="I245" s="9">
        <f>400</f>
        <v>400</v>
      </c>
      <c r="J245" s="9">
        <f>400</f>
        <v>400</v>
      </c>
      <c r="K245" s="9">
        <f>400</f>
        <v>400</v>
      </c>
      <c r="L245" s="9">
        <f>400</f>
        <v>400</v>
      </c>
      <c r="M245" s="9">
        <f>400</f>
        <v>400</v>
      </c>
      <c r="N245" s="9">
        <f t="shared" si="111"/>
        <v>4800</v>
      </c>
    </row>
    <row r="246" spans="1:14" x14ac:dyDescent="0.25">
      <c r="A246" s="3" t="s">
        <v>253</v>
      </c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9">
        <f t="shared" si="111"/>
        <v>0</v>
      </c>
    </row>
    <row r="247" spans="1:14" x14ac:dyDescent="0.25">
      <c r="A247" s="3" t="s">
        <v>254</v>
      </c>
      <c r="B247" s="9">
        <f>26862.56</f>
        <v>26862.560000000001</v>
      </c>
      <c r="C247" s="9">
        <f t="shared" ref="C247:M247" si="143">26862.62</f>
        <v>26862.62</v>
      </c>
      <c r="D247" s="9">
        <f t="shared" si="143"/>
        <v>26862.62</v>
      </c>
      <c r="E247" s="9">
        <f t="shared" si="143"/>
        <v>26862.62</v>
      </c>
      <c r="F247" s="9">
        <f t="shared" si="143"/>
        <v>26862.62</v>
      </c>
      <c r="G247" s="9">
        <f t="shared" si="143"/>
        <v>26862.62</v>
      </c>
      <c r="H247" s="9">
        <f t="shared" si="143"/>
        <v>26862.62</v>
      </c>
      <c r="I247" s="9">
        <f t="shared" si="143"/>
        <v>26862.62</v>
      </c>
      <c r="J247" s="9">
        <f t="shared" si="143"/>
        <v>26862.62</v>
      </c>
      <c r="K247" s="9">
        <f t="shared" si="143"/>
        <v>26862.62</v>
      </c>
      <c r="L247" s="9">
        <f t="shared" si="143"/>
        <v>26862.62</v>
      </c>
      <c r="M247" s="9">
        <f t="shared" si="143"/>
        <v>26862.62</v>
      </c>
      <c r="N247" s="9">
        <f t="shared" si="111"/>
        <v>322351.38</v>
      </c>
    </row>
    <row r="248" spans="1:14" x14ac:dyDescent="0.25">
      <c r="A248" s="3" t="s">
        <v>255</v>
      </c>
      <c r="B248" s="9">
        <f>2730</f>
        <v>2730</v>
      </c>
      <c r="C248" s="9">
        <f>2730</f>
        <v>2730</v>
      </c>
      <c r="D248" s="9">
        <f>2730</f>
        <v>2730</v>
      </c>
      <c r="E248" s="9">
        <f>2730</f>
        <v>2730</v>
      </c>
      <c r="F248" s="9">
        <f>2730</f>
        <v>2730</v>
      </c>
      <c r="G248" s="9">
        <f>2730</f>
        <v>2730</v>
      </c>
      <c r="H248" s="9">
        <f>2730</f>
        <v>2730</v>
      </c>
      <c r="I248" s="9">
        <f>2730</f>
        <v>2730</v>
      </c>
      <c r="J248" s="9">
        <f>2730</f>
        <v>2730</v>
      </c>
      <c r="K248" s="9">
        <f>2730</f>
        <v>2730</v>
      </c>
      <c r="L248" s="9">
        <f>2730</f>
        <v>2730</v>
      </c>
      <c r="M248" s="9">
        <f>2730</f>
        <v>2730</v>
      </c>
      <c r="N248" s="9">
        <f t="shared" si="111"/>
        <v>32760</v>
      </c>
    </row>
    <row r="249" spans="1:14" x14ac:dyDescent="0.25">
      <c r="A249" s="3" t="s">
        <v>256</v>
      </c>
      <c r="B249" s="9">
        <f t="shared" ref="B249:L249" si="144">2551.95</f>
        <v>2551.9499999999998</v>
      </c>
      <c r="C249" s="9">
        <f t="shared" si="144"/>
        <v>2551.9499999999998</v>
      </c>
      <c r="D249" s="9">
        <f t="shared" si="144"/>
        <v>2551.9499999999998</v>
      </c>
      <c r="E249" s="9">
        <f t="shared" si="144"/>
        <v>2551.9499999999998</v>
      </c>
      <c r="F249" s="9">
        <f t="shared" si="144"/>
        <v>2551.9499999999998</v>
      </c>
      <c r="G249" s="9">
        <f t="shared" si="144"/>
        <v>2551.9499999999998</v>
      </c>
      <c r="H249" s="9">
        <f t="shared" si="144"/>
        <v>2551.9499999999998</v>
      </c>
      <c r="I249" s="9">
        <f t="shared" si="144"/>
        <v>2551.9499999999998</v>
      </c>
      <c r="J249" s="9">
        <f t="shared" si="144"/>
        <v>2551.9499999999998</v>
      </c>
      <c r="K249" s="9">
        <f t="shared" si="144"/>
        <v>2551.9499999999998</v>
      </c>
      <c r="L249" s="9">
        <f t="shared" si="144"/>
        <v>2551.9499999999998</v>
      </c>
      <c r="M249" s="9">
        <f>2551.93</f>
        <v>2551.9299999999998</v>
      </c>
      <c r="N249" s="9">
        <f t="shared" si="111"/>
        <v>30623.380000000005</v>
      </c>
    </row>
    <row r="250" spans="1:14" x14ac:dyDescent="0.25">
      <c r="A250" s="3" t="s">
        <v>257</v>
      </c>
      <c r="B250" s="9">
        <f>30</f>
        <v>30</v>
      </c>
      <c r="C250" s="9">
        <f>30</f>
        <v>30</v>
      </c>
      <c r="D250" s="9">
        <f>30</f>
        <v>30</v>
      </c>
      <c r="E250" s="9">
        <f>30</f>
        <v>30</v>
      </c>
      <c r="F250" s="9">
        <f>30</f>
        <v>30</v>
      </c>
      <c r="G250" s="9">
        <f>30</f>
        <v>30</v>
      </c>
      <c r="H250" s="9">
        <f>30</f>
        <v>30</v>
      </c>
      <c r="I250" s="9">
        <f>30</f>
        <v>30</v>
      </c>
      <c r="J250" s="9">
        <f>30</f>
        <v>30</v>
      </c>
      <c r="K250" s="9">
        <f>30</f>
        <v>30</v>
      </c>
      <c r="L250" s="9">
        <f>30</f>
        <v>30</v>
      </c>
      <c r="M250" s="9">
        <f>30</f>
        <v>30</v>
      </c>
      <c r="N250" s="9">
        <f t="shared" si="111"/>
        <v>360</v>
      </c>
    </row>
    <row r="251" spans="1:14" x14ac:dyDescent="0.25">
      <c r="A251" s="3" t="s">
        <v>258</v>
      </c>
      <c r="B251" s="10">
        <f t="shared" ref="B251:M251" si="145">((((B246)+(B247))+(B248))+(B249))+(B250)</f>
        <v>32174.510000000002</v>
      </c>
      <c r="C251" s="10">
        <f t="shared" si="145"/>
        <v>32174.57</v>
      </c>
      <c r="D251" s="10">
        <f t="shared" si="145"/>
        <v>32174.57</v>
      </c>
      <c r="E251" s="10">
        <f t="shared" si="145"/>
        <v>32174.57</v>
      </c>
      <c r="F251" s="10">
        <f t="shared" si="145"/>
        <v>32174.57</v>
      </c>
      <c r="G251" s="10">
        <f t="shared" si="145"/>
        <v>32174.57</v>
      </c>
      <c r="H251" s="10">
        <f t="shared" si="145"/>
        <v>32174.57</v>
      </c>
      <c r="I251" s="10">
        <f t="shared" si="145"/>
        <v>32174.57</v>
      </c>
      <c r="J251" s="10">
        <f t="shared" si="145"/>
        <v>32174.57</v>
      </c>
      <c r="K251" s="10">
        <f t="shared" si="145"/>
        <v>32174.57</v>
      </c>
      <c r="L251" s="10">
        <f t="shared" si="145"/>
        <v>32174.57</v>
      </c>
      <c r="M251" s="10">
        <f t="shared" si="145"/>
        <v>32174.55</v>
      </c>
      <c r="N251" s="10">
        <f t="shared" si="111"/>
        <v>386094.76</v>
      </c>
    </row>
    <row r="252" spans="1:14" x14ac:dyDescent="0.25">
      <c r="A252" s="3" t="s">
        <v>259</v>
      </c>
      <c r="B252" s="9">
        <f>41.63</f>
        <v>41.63</v>
      </c>
      <c r="C252" s="9">
        <f t="shared" ref="C252:M252" si="146">41.67</f>
        <v>41.67</v>
      </c>
      <c r="D252" s="9">
        <f t="shared" si="146"/>
        <v>41.67</v>
      </c>
      <c r="E252" s="9">
        <f t="shared" si="146"/>
        <v>41.67</v>
      </c>
      <c r="F252" s="9">
        <f t="shared" si="146"/>
        <v>41.67</v>
      </c>
      <c r="G252" s="9">
        <f t="shared" si="146"/>
        <v>41.67</v>
      </c>
      <c r="H252" s="9">
        <f t="shared" si="146"/>
        <v>41.67</v>
      </c>
      <c r="I252" s="9">
        <f t="shared" si="146"/>
        <v>41.67</v>
      </c>
      <c r="J252" s="9">
        <f t="shared" si="146"/>
        <v>41.67</v>
      </c>
      <c r="K252" s="9">
        <f t="shared" si="146"/>
        <v>41.67</v>
      </c>
      <c r="L252" s="9">
        <f t="shared" si="146"/>
        <v>41.67</v>
      </c>
      <c r="M252" s="9">
        <f t="shared" si="146"/>
        <v>41.67</v>
      </c>
      <c r="N252" s="9">
        <f t="shared" si="111"/>
        <v>500.00000000000011</v>
      </c>
    </row>
    <row r="253" spans="1:14" x14ac:dyDescent="0.25">
      <c r="A253" s="3" t="s">
        <v>260</v>
      </c>
      <c r="B253" s="9">
        <f>16.63</f>
        <v>16.63</v>
      </c>
      <c r="C253" s="9">
        <f t="shared" ref="C253:M253" si="147">16.67</f>
        <v>16.670000000000002</v>
      </c>
      <c r="D253" s="9">
        <f t="shared" si="147"/>
        <v>16.670000000000002</v>
      </c>
      <c r="E253" s="9">
        <f t="shared" si="147"/>
        <v>16.670000000000002</v>
      </c>
      <c r="F253" s="9">
        <f t="shared" si="147"/>
        <v>16.670000000000002</v>
      </c>
      <c r="G253" s="9">
        <f t="shared" si="147"/>
        <v>16.670000000000002</v>
      </c>
      <c r="H253" s="9">
        <f t="shared" si="147"/>
        <v>16.670000000000002</v>
      </c>
      <c r="I253" s="9">
        <f t="shared" si="147"/>
        <v>16.670000000000002</v>
      </c>
      <c r="J253" s="9">
        <f t="shared" si="147"/>
        <v>16.670000000000002</v>
      </c>
      <c r="K253" s="9">
        <f t="shared" si="147"/>
        <v>16.670000000000002</v>
      </c>
      <c r="L253" s="9">
        <f t="shared" si="147"/>
        <v>16.670000000000002</v>
      </c>
      <c r="M253" s="9">
        <f t="shared" si="147"/>
        <v>16.670000000000002</v>
      </c>
      <c r="N253" s="9">
        <f t="shared" si="111"/>
        <v>200.00000000000006</v>
      </c>
    </row>
    <row r="254" spans="1:14" x14ac:dyDescent="0.25">
      <c r="A254" s="3" t="s">
        <v>261</v>
      </c>
      <c r="B254" s="9">
        <f>29.13</f>
        <v>29.13</v>
      </c>
      <c r="C254" s="9">
        <f t="shared" ref="C254:M254" si="148">29.17</f>
        <v>29.17</v>
      </c>
      <c r="D254" s="9">
        <f t="shared" si="148"/>
        <v>29.17</v>
      </c>
      <c r="E254" s="9">
        <f t="shared" si="148"/>
        <v>29.17</v>
      </c>
      <c r="F254" s="9">
        <f t="shared" si="148"/>
        <v>29.17</v>
      </c>
      <c r="G254" s="9">
        <f t="shared" si="148"/>
        <v>29.17</v>
      </c>
      <c r="H254" s="9">
        <f t="shared" si="148"/>
        <v>29.17</v>
      </c>
      <c r="I254" s="9">
        <f t="shared" si="148"/>
        <v>29.17</v>
      </c>
      <c r="J254" s="9">
        <f t="shared" si="148"/>
        <v>29.17</v>
      </c>
      <c r="K254" s="9">
        <f t="shared" si="148"/>
        <v>29.17</v>
      </c>
      <c r="L254" s="9">
        <f t="shared" si="148"/>
        <v>29.17</v>
      </c>
      <c r="M254" s="9">
        <f t="shared" si="148"/>
        <v>29.17</v>
      </c>
      <c r="N254" s="9">
        <f t="shared" si="111"/>
        <v>350.00000000000011</v>
      </c>
    </row>
    <row r="255" spans="1:14" x14ac:dyDescent="0.25">
      <c r="A255" s="3" t="s">
        <v>262</v>
      </c>
      <c r="B255" s="9">
        <f>25</f>
        <v>25</v>
      </c>
      <c r="C255" s="9">
        <f>25</f>
        <v>25</v>
      </c>
      <c r="D255" s="9">
        <f>25</f>
        <v>25</v>
      </c>
      <c r="E255" s="9">
        <f>25</f>
        <v>25</v>
      </c>
      <c r="F255" s="9">
        <f>25</f>
        <v>25</v>
      </c>
      <c r="G255" s="9">
        <f>25</f>
        <v>25</v>
      </c>
      <c r="H255" s="9">
        <f>25</f>
        <v>25</v>
      </c>
      <c r="I255" s="9">
        <f>25</f>
        <v>25</v>
      </c>
      <c r="J255" s="9">
        <f>25</f>
        <v>25</v>
      </c>
      <c r="K255" s="9">
        <f>25</f>
        <v>25</v>
      </c>
      <c r="L255" s="9">
        <f>25</f>
        <v>25</v>
      </c>
      <c r="M255" s="9">
        <f>25</f>
        <v>25</v>
      </c>
      <c r="N255" s="9">
        <f t="shared" si="111"/>
        <v>300</v>
      </c>
    </row>
    <row r="256" spans="1:14" x14ac:dyDescent="0.25">
      <c r="A256" s="3" t="s">
        <v>263</v>
      </c>
      <c r="B256" s="10">
        <f t="shared" ref="B256:M256" si="149">(((((((((B241)+(B242))+(B243))+(B244))+(B245))+(B251))+(B252))+(B253))+(B254))+(B255)</f>
        <v>47410.159999999996</v>
      </c>
      <c r="C256" s="10">
        <f t="shared" si="149"/>
        <v>45134.899999999994</v>
      </c>
      <c r="D256" s="10">
        <f t="shared" si="149"/>
        <v>44232.539999999994</v>
      </c>
      <c r="E256" s="10">
        <f t="shared" si="149"/>
        <v>46335.249999999993</v>
      </c>
      <c r="F256" s="10">
        <f t="shared" si="149"/>
        <v>44284.59</v>
      </c>
      <c r="G256" s="10">
        <f t="shared" si="149"/>
        <v>48914.319999999992</v>
      </c>
      <c r="H256" s="10">
        <f t="shared" si="149"/>
        <v>44685.969999999994</v>
      </c>
      <c r="I256" s="10">
        <f t="shared" si="149"/>
        <v>44235.13</v>
      </c>
      <c r="J256" s="10">
        <f t="shared" si="149"/>
        <v>45628.039999999994</v>
      </c>
      <c r="K256" s="10">
        <f t="shared" si="149"/>
        <v>45553.17</v>
      </c>
      <c r="L256" s="10">
        <f t="shared" si="149"/>
        <v>43797.259999999995</v>
      </c>
      <c r="M256" s="10">
        <f t="shared" si="149"/>
        <v>43767.02</v>
      </c>
      <c r="N256" s="10">
        <f t="shared" si="111"/>
        <v>543978.34999999986</v>
      </c>
    </row>
    <row r="257" spans="1:14" x14ac:dyDescent="0.25">
      <c r="A257" s="3" t="s">
        <v>264</v>
      </c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9">
        <f t="shared" si="111"/>
        <v>0</v>
      </c>
    </row>
    <row r="258" spans="1:14" x14ac:dyDescent="0.25">
      <c r="A258" s="3" t="s">
        <v>265</v>
      </c>
      <c r="B258" s="9">
        <f>402.32</f>
        <v>402.32</v>
      </c>
      <c r="C258" s="9">
        <f t="shared" ref="C258:M258" si="150">402.36</f>
        <v>402.36</v>
      </c>
      <c r="D258" s="9">
        <f t="shared" si="150"/>
        <v>402.36</v>
      </c>
      <c r="E258" s="9">
        <f t="shared" si="150"/>
        <v>402.36</v>
      </c>
      <c r="F258" s="9">
        <f t="shared" si="150"/>
        <v>402.36</v>
      </c>
      <c r="G258" s="9">
        <f t="shared" si="150"/>
        <v>402.36</v>
      </c>
      <c r="H258" s="9">
        <f t="shared" si="150"/>
        <v>402.36</v>
      </c>
      <c r="I258" s="9">
        <f t="shared" si="150"/>
        <v>402.36</v>
      </c>
      <c r="J258" s="9">
        <f t="shared" si="150"/>
        <v>402.36</v>
      </c>
      <c r="K258" s="9">
        <f t="shared" si="150"/>
        <v>402.36</v>
      </c>
      <c r="L258" s="9">
        <f t="shared" si="150"/>
        <v>402.36</v>
      </c>
      <c r="M258" s="9">
        <f t="shared" si="150"/>
        <v>402.36</v>
      </c>
      <c r="N258" s="9">
        <f t="shared" si="111"/>
        <v>4828.2800000000007</v>
      </c>
    </row>
    <row r="259" spans="1:14" x14ac:dyDescent="0.25">
      <c r="A259" s="3" t="s">
        <v>266</v>
      </c>
      <c r="B259" s="9">
        <f>166.63</f>
        <v>166.63</v>
      </c>
      <c r="C259" s="9">
        <f t="shared" ref="C259:M259" si="151">166.67</f>
        <v>166.67</v>
      </c>
      <c r="D259" s="9">
        <f t="shared" si="151"/>
        <v>166.67</v>
      </c>
      <c r="E259" s="9">
        <f t="shared" si="151"/>
        <v>166.67</v>
      </c>
      <c r="F259" s="9">
        <f t="shared" si="151"/>
        <v>166.67</v>
      </c>
      <c r="G259" s="9">
        <f t="shared" si="151"/>
        <v>166.67</v>
      </c>
      <c r="H259" s="9">
        <f t="shared" si="151"/>
        <v>166.67</v>
      </c>
      <c r="I259" s="9">
        <f t="shared" si="151"/>
        <v>166.67</v>
      </c>
      <c r="J259" s="9">
        <f t="shared" si="151"/>
        <v>166.67</v>
      </c>
      <c r="K259" s="9">
        <f t="shared" si="151"/>
        <v>166.67</v>
      </c>
      <c r="L259" s="9">
        <f t="shared" si="151"/>
        <v>166.67</v>
      </c>
      <c r="M259" s="9">
        <f t="shared" si="151"/>
        <v>166.67</v>
      </c>
      <c r="N259" s="9">
        <f t="shared" si="111"/>
        <v>2000.0000000000002</v>
      </c>
    </row>
    <row r="260" spans="1:14" x14ac:dyDescent="0.25">
      <c r="A260" s="3" t="s">
        <v>267</v>
      </c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9">
        <f t="shared" si="111"/>
        <v>0</v>
      </c>
    </row>
    <row r="261" spans="1:14" x14ac:dyDescent="0.25">
      <c r="A261" s="3" t="s">
        <v>268</v>
      </c>
      <c r="B261" s="9">
        <f>2662.47</f>
        <v>2662.47</v>
      </c>
      <c r="C261" s="9">
        <f t="shared" ref="C261:M261" si="152">2662.51</f>
        <v>2662.51</v>
      </c>
      <c r="D261" s="9">
        <f t="shared" si="152"/>
        <v>2662.51</v>
      </c>
      <c r="E261" s="9">
        <f t="shared" si="152"/>
        <v>2662.51</v>
      </c>
      <c r="F261" s="9">
        <f t="shared" si="152"/>
        <v>2662.51</v>
      </c>
      <c r="G261" s="9">
        <f t="shared" si="152"/>
        <v>2662.51</v>
      </c>
      <c r="H261" s="9">
        <f t="shared" si="152"/>
        <v>2662.51</v>
      </c>
      <c r="I261" s="9">
        <f t="shared" si="152"/>
        <v>2662.51</v>
      </c>
      <c r="J261" s="9">
        <f t="shared" si="152"/>
        <v>2662.51</v>
      </c>
      <c r="K261" s="9">
        <f t="shared" si="152"/>
        <v>2662.51</v>
      </c>
      <c r="L261" s="9">
        <f t="shared" si="152"/>
        <v>2662.51</v>
      </c>
      <c r="M261" s="9">
        <f t="shared" si="152"/>
        <v>2662.51</v>
      </c>
      <c r="N261" s="9">
        <f t="shared" si="111"/>
        <v>31950.080000000009</v>
      </c>
    </row>
    <row r="262" spans="1:14" x14ac:dyDescent="0.25">
      <c r="A262" s="3" t="s">
        <v>269</v>
      </c>
      <c r="B262" s="9">
        <f>252.94</f>
        <v>252.94</v>
      </c>
      <c r="C262" s="9">
        <f>252.92</f>
        <v>252.92</v>
      </c>
      <c r="D262" s="9">
        <f t="shared" ref="D262:M262" si="153">252.94</f>
        <v>252.94</v>
      </c>
      <c r="E262" s="9">
        <f t="shared" si="153"/>
        <v>252.94</v>
      </c>
      <c r="F262" s="9">
        <f t="shared" si="153"/>
        <v>252.94</v>
      </c>
      <c r="G262" s="9">
        <f t="shared" si="153"/>
        <v>252.94</v>
      </c>
      <c r="H262" s="9">
        <f t="shared" si="153"/>
        <v>252.94</v>
      </c>
      <c r="I262" s="9">
        <f t="shared" si="153"/>
        <v>252.94</v>
      </c>
      <c r="J262" s="9">
        <f t="shared" si="153"/>
        <v>252.94</v>
      </c>
      <c r="K262" s="9">
        <f t="shared" si="153"/>
        <v>252.94</v>
      </c>
      <c r="L262" s="9">
        <f t="shared" si="153"/>
        <v>252.94</v>
      </c>
      <c r="M262" s="9">
        <f t="shared" si="153"/>
        <v>252.94</v>
      </c>
      <c r="N262" s="9">
        <f t="shared" si="111"/>
        <v>3035.26</v>
      </c>
    </row>
    <row r="263" spans="1:14" x14ac:dyDescent="0.25">
      <c r="A263" s="3" t="s">
        <v>270</v>
      </c>
      <c r="B263" s="10">
        <f t="shared" ref="B263:M263" si="154">((B260)+(B261))+(B262)</f>
        <v>2915.41</v>
      </c>
      <c r="C263" s="10">
        <f t="shared" si="154"/>
        <v>2915.4300000000003</v>
      </c>
      <c r="D263" s="10">
        <f t="shared" si="154"/>
        <v>2915.4500000000003</v>
      </c>
      <c r="E263" s="10">
        <f t="shared" si="154"/>
        <v>2915.4500000000003</v>
      </c>
      <c r="F263" s="10">
        <f t="shared" si="154"/>
        <v>2915.4500000000003</v>
      </c>
      <c r="G263" s="10">
        <f t="shared" si="154"/>
        <v>2915.4500000000003</v>
      </c>
      <c r="H263" s="10">
        <f t="shared" si="154"/>
        <v>2915.4500000000003</v>
      </c>
      <c r="I263" s="10">
        <f t="shared" si="154"/>
        <v>2915.4500000000003</v>
      </c>
      <c r="J263" s="10">
        <f t="shared" si="154"/>
        <v>2915.4500000000003</v>
      </c>
      <c r="K263" s="10">
        <f t="shared" si="154"/>
        <v>2915.4500000000003</v>
      </c>
      <c r="L263" s="10">
        <f t="shared" si="154"/>
        <v>2915.4500000000003</v>
      </c>
      <c r="M263" s="10">
        <f t="shared" si="154"/>
        <v>2915.4500000000003</v>
      </c>
      <c r="N263" s="10">
        <f t="shared" ref="N263:N326" si="155">(((((((((((B263)+(C263))+(D263))+(E263))+(F263))+(G263))+(H263))+(I263))+(J263))+(K263))+(L263))+(M263)</f>
        <v>34985.340000000004</v>
      </c>
    </row>
    <row r="264" spans="1:14" x14ac:dyDescent="0.25">
      <c r="A264" s="3" t="s">
        <v>271</v>
      </c>
      <c r="B264" s="10">
        <f t="shared" ref="B264:M264" si="156">(((B257)+(B258))+(B259))+(B263)</f>
        <v>3484.3599999999997</v>
      </c>
      <c r="C264" s="10">
        <f t="shared" si="156"/>
        <v>3484.46</v>
      </c>
      <c r="D264" s="10">
        <f t="shared" si="156"/>
        <v>3484.4800000000005</v>
      </c>
      <c r="E264" s="10">
        <f t="shared" si="156"/>
        <v>3484.4800000000005</v>
      </c>
      <c r="F264" s="10">
        <f t="shared" si="156"/>
        <v>3484.4800000000005</v>
      </c>
      <c r="G264" s="10">
        <f t="shared" si="156"/>
        <v>3484.4800000000005</v>
      </c>
      <c r="H264" s="10">
        <f t="shared" si="156"/>
        <v>3484.4800000000005</v>
      </c>
      <c r="I264" s="10">
        <f t="shared" si="156"/>
        <v>3484.4800000000005</v>
      </c>
      <c r="J264" s="10">
        <f t="shared" si="156"/>
        <v>3484.4800000000005</v>
      </c>
      <c r="K264" s="10">
        <f t="shared" si="156"/>
        <v>3484.4800000000005</v>
      </c>
      <c r="L264" s="10">
        <f t="shared" si="156"/>
        <v>3484.4800000000005</v>
      </c>
      <c r="M264" s="10">
        <f t="shared" si="156"/>
        <v>3484.4800000000005</v>
      </c>
      <c r="N264" s="10">
        <f t="shared" si="155"/>
        <v>41813.620000000003</v>
      </c>
    </row>
    <row r="265" spans="1:14" x14ac:dyDescent="0.25">
      <c r="A265" s="3" t="s">
        <v>272</v>
      </c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9">
        <f t="shared" si="155"/>
        <v>0</v>
      </c>
    </row>
    <row r="266" spans="1:14" x14ac:dyDescent="0.25">
      <c r="A266" s="3" t="s">
        <v>273</v>
      </c>
      <c r="B266" s="9">
        <f>1253.69</f>
        <v>1253.69</v>
      </c>
      <c r="C266" s="9">
        <f>1253.68</f>
        <v>1253.68</v>
      </c>
      <c r="D266" s="9">
        <f t="shared" ref="D266:M266" si="157">1253.69</f>
        <v>1253.69</v>
      </c>
      <c r="E266" s="9">
        <f t="shared" si="157"/>
        <v>1253.69</v>
      </c>
      <c r="F266" s="9">
        <f t="shared" si="157"/>
        <v>1253.69</v>
      </c>
      <c r="G266" s="9">
        <f t="shared" si="157"/>
        <v>1253.69</v>
      </c>
      <c r="H266" s="9">
        <f t="shared" si="157"/>
        <v>1253.69</v>
      </c>
      <c r="I266" s="9">
        <f t="shared" si="157"/>
        <v>1253.69</v>
      </c>
      <c r="J266" s="9">
        <f t="shared" si="157"/>
        <v>1253.69</v>
      </c>
      <c r="K266" s="9">
        <f t="shared" si="157"/>
        <v>1253.69</v>
      </c>
      <c r="L266" s="9">
        <f t="shared" si="157"/>
        <v>1253.69</v>
      </c>
      <c r="M266" s="9">
        <f t="shared" si="157"/>
        <v>1253.69</v>
      </c>
      <c r="N266" s="9">
        <f t="shared" si="155"/>
        <v>15044.270000000004</v>
      </c>
    </row>
    <row r="267" spans="1:14" x14ac:dyDescent="0.25">
      <c r="A267" s="3" t="s">
        <v>274</v>
      </c>
      <c r="B267" s="9">
        <f>83.37</f>
        <v>83.37</v>
      </c>
      <c r="C267" s="9">
        <f t="shared" ref="C267:M267" si="158">83.33</f>
        <v>83.33</v>
      </c>
      <c r="D267" s="9">
        <f t="shared" si="158"/>
        <v>83.33</v>
      </c>
      <c r="E267" s="9">
        <f t="shared" si="158"/>
        <v>83.33</v>
      </c>
      <c r="F267" s="9">
        <f t="shared" si="158"/>
        <v>83.33</v>
      </c>
      <c r="G267" s="9">
        <f t="shared" si="158"/>
        <v>83.33</v>
      </c>
      <c r="H267" s="9">
        <f t="shared" si="158"/>
        <v>83.33</v>
      </c>
      <c r="I267" s="9">
        <f t="shared" si="158"/>
        <v>83.33</v>
      </c>
      <c r="J267" s="9">
        <f t="shared" si="158"/>
        <v>83.33</v>
      </c>
      <c r="K267" s="9">
        <f t="shared" si="158"/>
        <v>83.33</v>
      </c>
      <c r="L267" s="9">
        <f t="shared" si="158"/>
        <v>83.33</v>
      </c>
      <c r="M267" s="9">
        <f t="shared" si="158"/>
        <v>83.33</v>
      </c>
      <c r="N267" s="9">
        <f t="shared" si="155"/>
        <v>1000.0000000000001</v>
      </c>
    </row>
    <row r="268" spans="1:14" x14ac:dyDescent="0.25">
      <c r="A268" s="3" t="s">
        <v>275</v>
      </c>
      <c r="B268" s="9">
        <f>141.63</f>
        <v>141.63</v>
      </c>
      <c r="C268" s="9">
        <f t="shared" ref="C268:M268" si="159">141.67</f>
        <v>141.66999999999999</v>
      </c>
      <c r="D268" s="9">
        <f t="shared" si="159"/>
        <v>141.66999999999999</v>
      </c>
      <c r="E268" s="9">
        <f t="shared" si="159"/>
        <v>141.66999999999999</v>
      </c>
      <c r="F268" s="9">
        <f t="shared" si="159"/>
        <v>141.66999999999999</v>
      </c>
      <c r="G268" s="9">
        <f t="shared" si="159"/>
        <v>141.66999999999999</v>
      </c>
      <c r="H268" s="9">
        <f t="shared" si="159"/>
        <v>141.66999999999999</v>
      </c>
      <c r="I268" s="9">
        <f t="shared" si="159"/>
        <v>141.66999999999999</v>
      </c>
      <c r="J268" s="9">
        <f t="shared" si="159"/>
        <v>141.66999999999999</v>
      </c>
      <c r="K268" s="9">
        <f t="shared" si="159"/>
        <v>141.66999999999999</v>
      </c>
      <c r="L268" s="9">
        <f t="shared" si="159"/>
        <v>141.66999999999999</v>
      </c>
      <c r="M268" s="9">
        <f t="shared" si="159"/>
        <v>141.66999999999999</v>
      </c>
      <c r="N268" s="9">
        <f t="shared" si="155"/>
        <v>1700</v>
      </c>
    </row>
    <row r="269" spans="1:14" x14ac:dyDescent="0.25">
      <c r="A269" s="3" t="s">
        <v>276</v>
      </c>
      <c r="B269" s="9">
        <f>250</f>
        <v>250</v>
      </c>
      <c r="C269" s="9">
        <f>250</f>
        <v>250</v>
      </c>
      <c r="D269" s="9">
        <f>250</f>
        <v>250</v>
      </c>
      <c r="E269" s="9">
        <f>250</f>
        <v>250</v>
      </c>
      <c r="F269" s="9">
        <f>250</f>
        <v>250</v>
      </c>
      <c r="G269" s="9">
        <f>250</f>
        <v>250</v>
      </c>
      <c r="H269" s="9">
        <f>250</f>
        <v>250</v>
      </c>
      <c r="I269" s="9">
        <f>250</f>
        <v>250</v>
      </c>
      <c r="J269" s="9">
        <f>250</f>
        <v>250</v>
      </c>
      <c r="K269" s="9">
        <f>250</f>
        <v>250</v>
      </c>
      <c r="L269" s="9">
        <f>250</f>
        <v>250</v>
      </c>
      <c r="M269" s="9">
        <f>250</f>
        <v>250</v>
      </c>
      <c r="N269" s="9">
        <f t="shared" si="155"/>
        <v>3000</v>
      </c>
    </row>
    <row r="270" spans="1:14" x14ac:dyDescent="0.25">
      <c r="A270" s="3" t="s">
        <v>277</v>
      </c>
      <c r="B270" s="9">
        <f t="shared" ref="B270:M270" si="160">112.5</f>
        <v>112.5</v>
      </c>
      <c r="C270" s="9">
        <f t="shared" si="160"/>
        <v>112.5</v>
      </c>
      <c r="D270" s="9">
        <f t="shared" si="160"/>
        <v>112.5</v>
      </c>
      <c r="E270" s="9">
        <f t="shared" si="160"/>
        <v>112.5</v>
      </c>
      <c r="F270" s="9">
        <f t="shared" si="160"/>
        <v>112.5</v>
      </c>
      <c r="G270" s="9">
        <f t="shared" si="160"/>
        <v>112.5</v>
      </c>
      <c r="H270" s="9">
        <f t="shared" si="160"/>
        <v>112.5</v>
      </c>
      <c r="I270" s="9">
        <f t="shared" si="160"/>
        <v>112.5</v>
      </c>
      <c r="J270" s="9">
        <f t="shared" si="160"/>
        <v>112.5</v>
      </c>
      <c r="K270" s="9">
        <f t="shared" si="160"/>
        <v>112.5</v>
      </c>
      <c r="L270" s="9">
        <f t="shared" si="160"/>
        <v>112.5</v>
      </c>
      <c r="M270" s="9">
        <f t="shared" si="160"/>
        <v>112.5</v>
      </c>
      <c r="N270" s="9">
        <f t="shared" si="155"/>
        <v>1350</v>
      </c>
    </row>
    <row r="271" spans="1:14" x14ac:dyDescent="0.25">
      <c r="A271" s="3" t="s">
        <v>278</v>
      </c>
      <c r="B271" s="9">
        <f t="shared" ref="B271:M271" si="161">12.5</f>
        <v>12.5</v>
      </c>
      <c r="C271" s="9">
        <f t="shared" si="161"/>
        <v>12.5</v>
      </c>
      <c r="D271" s="9">
        <f t="shared" si="161"/>
        <v>12.5</v>
      </c>
      <c r="E271" s="9">
        <f t="shared" si="161"/>
        <v>12.5</v>
      </c>
      <c r="F271" s="9">
        <f t="shared" si="161"/>
        <v>12.5</v>
      </c>
      <c r="G271" s="9">
        <f t="shared" si="161"/>
        <v>12.5</v>
      </c>
      <c r="H271" s="9">
        <f t="shared" si="161"/>
        <v>12.5</v>
      </c>
      <c r="I271" s="9">
        <f t="shared" si="161"/>
        <v>12.5</v>
      </c>
      <c r="J271" s="9">
        <f t="shared" si="161"/>
        <v>12.5</v>
      </c>
      <c r="K271" s="9">
        <f t="shared" si="161"/>
        <v>12.5</v>
      </c>
      <c r="L271" s="9">
        <f t="shared" si="161"/>
        <v>12.5</v>
      </c>
      <c r="M271" s="9">
        <f t="shared" si="161"/>
        <v>12.5</v>
      </c>
      <c r="N271" s="9">
        <f t="shared" si="155"/>
        <v>150</v>
      </c>
    </row>
    <row r="272" spans="1:14" x14ac:dyDescent="0.25">
      <c r="A272" s="3" t="s">
        <v>279</v>
      </c>
      <c r="B272" s="9">
        <f>10</f>
        <v>10</v>
      </c>
      <c r="C272" s="9">
        <f>10</f>
        <v>10</v>
      </c>
      <c r="D272" s="9">
        <f>10</f>
        <v>10</v>
      </c>
      <c r="E272" s="9">
        <f>10</f>
        <v>10</v>
      </c>
      <c r="F272" s="9">
        <f>10</f>
        <v>10</v>
      </c>
      <c r="G272" s="9">
        <f>10</f>
        <v>10</v>
      </c>
      <c r="H272" s="9">
        <f>10</f>
        <v>10</v>
      </c>
      <c r="I272" s="9">
        <f>10</f>
        <v>10</v>
      </c>
      <c r="J272" s="9">
        <f>10</f>
        <v>10</v>
      </c>
      <c r="K272" s="9">
        <f>10</f>
        <v>10</v>
      </c>
      <c r="L272" s="9">
        <f>10</f>
        <v>10</v>
      </c>
      <c r="M272" s="9">
        <f>10</f>
        <v>10</v>
      </c>
      <c r="N272" s="9">
        <f t="shared" si="155"/>
        <v>120</v>
      </c>
    </row>
    <row r="273" spans="1:14" x14ac:dyDescent="0.25">
      <c r="A273" s="3" t="s">
        <v>280</v>
      </c>
      <c r="B273" s="9">
        <f>41.63</f>
        <v>41.63</v>
      </c>
      <c r="C273" s="9">
        <f t="shared" ref="C273:M273" si="162">41.67</f>
        <v>41.67</v>
      </c>
      <c r="D273" s="9">
        <f t="shared" si="162"/>
        <v>41.67</v>
      </c>
      <c r="E273" s="9">
        <f t="shared" si="162"/>
        <v>41.67</v>
      </c>
      <c r="F273" s="9">
        <f t="shared" si="162"/>
        <v>41.67</v>
      </c>
      <c r="G273" s="9">
        <f t="shared" si="162"/>
        <v>41.67</v>
      </c>
      <c r="H273" s="9">
        <f t="shared" si="162"/>
        <v>41.67</v>
      </c>
      <c r="I273" s="9">
        <f t="shared" si="162"/>
        <v>41.67</v>
      </c>
      <c r="J273" s="9">
        <f t="shared" si="162"/>
        <v>41.67</v>
      </c>
      <c r="K273" s="9">
        <f t="shared" si="162"/>
        <v>41.67</v>
      </c>
      <c r="L273" s="9">
        <f t="shared" si="162"/>
        <v>41.67</v>
      </c>
      <c r="M273" s="9">
        <f t="shared" si="162"/>
        <v>41.67</v>
      </c>
      <c r="N273" s="9">
        <f t="shared" si="155"/>
        <v>500.00000000000011</v>
      </c>
    </row>
    <row r="274" spans="1:14" x14ac:dyDescent="0.25">
      <c r="A274" s="3" t="s">
        <v>281</v>
      </c>
      <c r="B274" s="9">
        <f>416.63</f>
        <v>416.63</v>
      </c>
      <c r="C274" s="9">
        <f t="shared" ref="C274:M274" si="163">416.67</f>
        <v>416.67</v>
      </c>
      <c r="D274" s="9">
        <f t="shared" si="163"/>
        <v>416.67</v>
      </c>
      <c r="E274" s="9">
        <f t="shared" si="163"/>
        <v>416.67</v>
      </c>
      <c r="F274" s="9">
        <f t="shared" si="163"/>
        <v>416.67</v>
      </c>
      <c r="G274" s="9">
        <f t="shared" si="163"/>
        <v>416.67</v>
      </c>
      <c r="H274" s="9">
        <f t="shared" si="163"/>
        <v>416.67</v>
      </c>
      <c r="I274" s="9">
        <f t="shared" si="163"/>
        <v>416.67</v>
      </c>
      <c r="J274" s="9">
        <f t="shared" si="163"/>
        <v>416.67</v>
      </c>
      <c r="K274" s="9">
        <f t="shared" si="163"/>
        <v>416.67</v>
      </c>
      <c r="L274" s="9">
        <f t="shared" si="163"/>
        <v>416.67</v>
      </c>
      <c r="M274" s="9">
        <f t="shared" si="163"/>
        <v>416.67</v>
      </c>
      <c r="N274" s="9">
        <f t="shared" si="155"/>
        <v>5000</v>
      </c>
    </row>
    <row r="275" spans="1:14" x14ac:dyDescent="0.25">
      <c r="A275" s="3" t="s">
        <v>282</v>
      </c>
      <c r="B275" s="9">
        <f>41.63</f>
        <v>41.63</v>
      </c>
      <c r="C275" s="9">
        <f t="shared" ref="C275:M275" si="164">41.67</f>
        <v>41.67</v>
      </c>
      <c r="D275" s="9">
        <f t="shared" si="164"/>
        <v>41.67</v>
      </c>
      <c r="E275" s="9">
        <f t="shared" si="164"/>
        <v>41.67</v>
      </c>
      <c r="F275" s="9">
        <f t="shared" si="164"/>
        <v>41.67</v>
      </c>
      <c r="G275" s="9">
        <f t="shared" si="164"/>
        <v>41.67</v>
      </c>
      <c r="H275" s="9">
        <f t="shared" si="164"/>
        <v>41.67</v>
      </c>
      <c r="I275" s="9">
        <f t="shared" si="164"/>
        <v>41.67</v>
      </c>
      <c r="J275" s="9">
        <f t="shared" si="164"/>
        <v>41.67</v>
      </c>
      <c r="K275" s="9">
        <f t="shared" si="164"/>
        <v>41.67</v>
      </c>
      <c r="L275" s="9">
        <f t="shared" si="164"/>
        <v>41.67</v>
      </c>
      <c r="M275" s="9">
        <f t="shared" si="164"/>
        <v>41.67</v>
      </c>
      <c r="N275" s="9">
        <f t="shared" si="155"/>
        <v>500.00000000000011</v>
      </c>
    </row>
    <row r="276" spans="1:14" x14ac:dyDescent="0.25">
      <c r="A276" s="3" t="s">
        <v>283</v>
      </c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9">
        <f t="shared" si="155"/>
        <v>0</v>
      </c>
    </row>
    <row r="277" spans="1:14" x14ac:dyDescent="0.25">
      <c r="A277" s="3" t="s">
        <v>284</v>
      </c>
      <c r="B277" s="9">
        <f>11149.48</f>
        <v>11149.48</v>
      </c>
      <c r="C277" s="9">
        <f t="shared" ref="C277:M277" si="165">11149.53</f>
        <v>11149.53</v>
      </c>
      <c r="D277" s="9">
        <f t="shared" si="165"/>
        <v>11149.53</v>
      </c>
      <c r="E277" s="9">
        <f t="shared" si="165"/>
        <v>11149.53</v>
      </c>
      <c r="F277" s="9">
        <f t="shared" si="165"/>
        <v>11149.53</v>
      </c>
      <c r="G277" s="9">
        <f t="shared" si="165"/>
        <v>11149.53</v>
      </c>
      <c r="H277" s="9">
        <f t="shared" si="165"/>
        <v>11149.53</v>
      </c>
      <c r="I277" s="9">
        <f t="shared" si="165"/>
        <v>11149.53</v>
      </c>
      <c r="J277" s="9">
        <f t="shared" si="165"/>
        <v>11149.53</v>
      </c>
      <c r="K277" s="9">
        <f t="shared" si="165"/>
        <v>11149.53</v>
      </c>
      <c r="L277" s="9">
        <f t="shared" si="165"/>
        <v>11149.53</v>
      </c>
      <c r="M277" s="9">
        <f t="shared" si="165"/>
        <v>11149.53</v>
      </c>
      <c r="N277" s="9">
        <f t="shared" si="155"/>
        <v>133794.31</v>
      </c>
    </row>
    <row r="278" spans="1:14" x14ac:dyDescent="0.25">
      <c r="A278" s="3" t="s">
        <v>285</v>
      </c>
      <c r="B278" s="9">
        <f>780</f>
        <v>780</v>
      </c>
      <c r="C278" s="9">
        <f>780</f>
        <v>780</v>
      </c>
      <c r="D278" s="9">
        <f>780</f>
        <v>780</v>
      </c>
      <c r="E278" s="9">
        <f>780</f>
        <v>780</v>
      </c>
      <c r="F278" s="9">
        <f>780</f>
        <v>780</v>
      </c>
      <c r="G278" s="9">
        <f>780</f>
        <v>780</v>
      </c>
      <c r="H278" s="9">
        <f>780</f>
        <v>780</v>
      </c>
      <c r="I278" s="9">
        <f>780</f>
        <v>780</v>
      </c>
      <c r="J278" s="9">
        <f>780</f>
        <v>780</v>
      </c>
      <c r="K278" s="9">
        <f>780</f>
        <v>780</v>
      </c>
      <c r="L278" s="9">
        <f>780</f>
        <v>780</v>
      </c>
      <c r="M278" s="9">
        <f>780</f>
        <v>780</v>
      </c>
      <c r="N278" s="9">
        <f t="shared" si="155"/>
        <v>9360</v>
      </c>
    </row>
    <row r="279" spans="1:14" x14ac:dyDescent="0.25">
      <c r="A279" s="3" t="s">
        <v>286</v>
      </c>
      <c r="B279" s="9">
        <f>1059.26</f>
        <v>1059.26</v>
      </c>
      <c r="C279" s="9">
        <f t="shared" ref="C279:M279" si="166">1059.2</f>
        <v>1059.2</v>
      </c>
      <c r="D279" s="9">
        <f t="shared" si="166"/>
        <v>1059.2</v>
      </c>
      <c r="E279" s="9">
        <f t="shared" si="166"/>
        <v>1059.2</v>
      </c>
      <c r="F279" s="9">
        <f t="shared" si="166"/>
        <v>1059.2</v>
      </c>
      <c r="G279" s="9">
        <f t="shared" si="166"/>
        <v>1059.2</v>
      </c>
      <c r="H279" s="9">
        <f t="shared" si="166"/>
        <v>1059.2</v>
      </c>
      <c r="I279" s="9">
        <f t="shared" si="166"/>
        <v>1059.2</v>
      </c>
      <c r="J279" s="9">
        <f t="shared" si="166"/>
        <v>1059.2</v>
      </c>
      <c r="K279" s="9">
        <f t="shared" si="166"/>
        <v>1059.2</v>
      </c>
      <c r="L279" s="9">
        <f t="shared" si="166"/>
        <v>1059.2</v>
      </c>
      <c r="M279" s="9">
        <f t="shared" si="166"/>
        <v>1059.2</v>
      </c>
      <c r="N279" s="9">
        <f t="shared" si="155"/>
        <v>12710.460000000003</v>
      </c>
    </row>
    <row r="280" spans="1:14" x14ac:dyDescent="0.25">
      <c r="A280" s="3" t="s">
        <v>287</v>
      </c>
      <c r="B280" s="10">
        <f t="shared" ref="B280:M280" si="167">(((B276)+(B277))+(B278))+(B279)</f>
        <v>12988.74</v>
      </c>
      <c r="C280" s="10">
        <f t="shared" si="167"/>
        <v>12988.730000000001</v>
      </c>
      <c r="D280" s="10">
        <f t="shared" si="167"/>
        <v>12988.730000000001</v>
      </c>
      <c r="E280" s="10">
        <f t="shared" si="167"/>
        <v>12988.730000000001</v>
      </c>
      <c r="F280" s="10">
        <f t="shared" si="167"/>
        <v>12988.730000000001</v>
      </c>
      <c r="G280" s="10">
        <f t="shared" si="167"/>
        <v>12988.730000000001</v>
      </c>
      <c r="H280" s="10">
        <f t="shared" si="167"/>
        <v>12988.730000000001</v>
      </c>
      <c r="I280" s="10">
        <f t="shared" si="167"/>
        <v>12988.730000000001</v>
      </c>
      <c r="J280" s="10">
        <f t="shared" si="167"/>
        <v>12988.730000000001</v>
      </c>
      <c r="K280" s="10">
        <f t="shared" si="167"/>
        <v>12988.730000000001</v>
      </c>
      <c r="L280" s="10">
        <f t="shared" si="167"/>
        <v>12988.730000000001</v>
      </c>
      <c r="M280" s="10">
        <f t="shared" si="167"/>
        <v>12988.730000000001</v>
      </c>
      <c r="N280" s="10">
        <f t="shared" si="155"/>
        <v>155864.77000000002</v>
      </c>
    </row>
    <row r="281" spans="1:14" x14ac:dyDescent="0.25">
      <c r="A281" s="3" t="s">
        <v>288</v>
      </c>
      <c r="B281" s="9">
        <f>4.13</f>
        <v>4.13</v>
      </c>
      <c r="C281" s="9">
        <f t="shared" ref="C281:M281" si="168">4.17</f>
        <v>4.17</v>
      </c>
      <c r="D281" s="9">
        <f t="shared" si="168"/>
        <v>4.17</v>
      </c>
      <c r="E281" s="9">
        <f t="shared" si="168"/>
        <v>4.17</v>
      </c>
      <c r="F281" s="9">
        <f t="shared" si="168"/>
        <v>4.17</v>
      </c>
      <c r="G281" s="9">
        <f t="shared" si="168"/>
        <v>4.17</v>
      </c>
      <c r="H281" s="9">
        <f t="shared" si="168"/>
        <v>4.17</v>
      </c>
      <c r="I281" s="9">
        <f t="shared" si="168"/>
        <v>4.17</v>
      </c>
      <c r="J281" s="9">
        <f t="shared" si="168"/>
        <v>4.17</v>
      </c>
      <c r="K281" s="9">
        <f t="shared" si="168"/>
        <v>4.17</v>
      </c>
      <c r="L281" s="9">
        <f t="shared" si="168"/>
        <v>4.17</v>
      </c>
      <c r="M281" s="9">
        <f t="shared" si="168"/>
        <v>4.17</v>
      </c>
      <c r="N281" s="9">
        <f t="shared" si="155"/>
        <v>50.000000000000014</v>
      </c>
    </row>
    <row r="282" spans="1:14" x14ac:dyDescent="0.25">
      <c r="A282" s="3" t="s">
        <v>289</v>
      </c>
      <c r="B282" s="9">
        <f>16.63</f>
        <v>16.63</v>
      </c>
      <c r="C282" s="9">
        <f t="shared" ref="C282:M282" si="169">16.67</f>
        <v>16.670000000000002</v>
      </c>
      <c r="D282" s="9">
        <f t="shared" si="169"/>
        <v>16.670000000000002</v>
      </c>
      <c r="E282" s="9">
        <f t="shared" si="169"/>
        <v>16.670000000000002</v>
      </c>
      <c r="F282" s="9">
        <f t="shared" si="169"/>
        <v>16.670000000000002</v>
      </c>
      <c r="G282" s="9">
        <f t="shared" si="169"/>
        <v>16.670000000000002</v>
      </c>
      <c r="H282" s="9">
        <f t="shared" si="169"/>
        <v>16.670000000000002</v>
      </c>
      <c r="I282" s="9">
        <f t="shared" si="169"/>
        <v>16.670000000000002</v>
      </c>
      <c r="J282" s="9">
        <f t="shared" si="169"/>
        <v>16.670000000000002</v>
      </c>
      <c r="K282" s="9">
        <f t="shared" si="169"/>
        <v>16.670000000000002</v>
      </c>
      <c r="L282" s="9">
        <f t="shared" si="169"/>
        <v>16.670000000000002</v>
      </c>
      <c r="M282" s="9">
        <f t="shared" si="169"/>
        <v>16.670000000000002</v>
      </c>
      <c r="N282" s="9">
        <f t="shared" si="155"/>
        <v>200.00000000000006</v>
      </c>
    </row>
    <row r="283" spans="1:14" x14ac:dyDescent="0.25">
      <c r="A283" s="3" t="s">
        <v>290</v>
      </c>
      <c r="B283" s="10">
        <f t="shared" ref="B283:M283" si="170">(((((((((((((B265)+(B266))+(B267))+(B268))+(B269))+(B270))+(B271))+(B272))+(B273))+(B274))+(B275))+(B280))+(B281))+(B282)</f>
        <v>15373.079999999998</v>
      </c>
      <c r="C283" s="10">
        <f t="shared" si="170"/>
        <v>15373.260000000002</v>
      </c>
      <c r="D283" s="10">
        <f t="shared" si="170"/>
        <v>15373.270000000002</v>
      </c>
      <c r="E283" s="10">
        <f t="shared" si="170"/>
        <v>15373.270000000002</v>
      </c>
      <c r="F283" s="10">
        <f t="shared" si="170"/>
        <v>15373.270000000002</v>
      </c>
      <c r="G283" s="10">
        <f t="shared" si="170"/>
        <v>15373.270000000002</v>
      </c>
      <c r="H283" s="10">
        <f t="shared" si="170"/>
        <v>15373.270000000002</v>
      </c>
      <c r="I283" s="10">
        <f t="shared" si="170"/>
        <v>15373.270000000002</v>
      </c>
      <c r="J283" s="10">
        <f t="shared" si="170"/>
        <v>15373.270000000002</v>
      </c>
      <c r="K283" s="10">
        <f t="shared" si="170"/>
        <v>15373.270000000002</v>
      </c>
      <c r="L283" s="10">
        <f t="shared" si="170"/>
        <v>15373.270000000002</v>
      </c>
      <c r="M283" s="10">
        <f t="shared" si="170"/>
        <v>15373.270000000002</v>
      </c>
      <c r="N283" s="10">
        <f t="shared" si="155"/>
        <v>184479.03999999998</v>
      </c>
    </row>
    <row r="284" spans="1:14" x14ac:dyDescent="0.25">
      <c r="A284" s="3" t="s">
        <v>291</v>
      </c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9">
        <f t="shared" si="155"/>
        <v>0</v>
      </c>
    </row>
    <row r="285" spans="1:14" x14ac:dyDescent="0.25">
      <c r="A285" s="3" t="s">
        <v>292</v>
      </c>
      <c r="B285" s="9">
        <f>4232.72</f>
        <v>4232.72</v>
      </c>
      <c r="C285" s="9">
        <f t="shared" ref="C285:M285" si="171">4232.68</f>
        <v>4232.68</v>
      </c>
      <c r="D285" s="9">
        <f t="shared" si="171"/>
        <v>4232.68</v>
      </c>
      <c r="E285" s="9">
        <f t="shared" si="171"/>
        <v>4232.68</v>
      </c>
      <c r="F285" s="9">
        <f t="shared" si="171"/>
        <v>4232.68</v>
      </c>
      <c r="G285" s="9">
        <f t="shared" si="171"/>
        <v>4232.68</v>
      </c>
      <c r="H285" s="9">
        <f t="shared" si="171"/>
        <v>4232.68</v>
      </c>
      <c r="I285" s="9">
        <f t="shared" si="171"/>
        <v>4232.68</v>
      </c>
      <c r="J285" s="9">
        <f t="shared" si="171"/>
        <v>4232.68</v>
      </c>
      <c r="K285" s="9">
        <f t="shared" si="171"/>
        <v>4232.68</v>
      </c>
      <c r="L285" s="9">
        <f t="shared" si="171"/>
        <v>4232.68</v>
      </c>
      <c r="M285" s="9">
        <f t="shared" si="171"/>
        <v>4232.68</v>
      </c>
      <c r="N285" s="9">
        <f t="shared" si="155"/>
        <v>50792.200000000004</v>
      </c>
    </row>
    <row r="286" spans="1:14" x14ac:dyDescent="0.25">
      <c r="A286" s="3" t="s">
        <v>293</v>
      </c>
      <c r="B286" s="9">
        <f>2086.32</f>
        <v>2086.3200000000002</v>
      </c>
      <c r="C286" s="9">
        <f>1500.42</f>
        <v>1500.42</v>
      </c>
      <c r="D286" s="9">
        <f>1268.07</f>
        <v>1268.07</v>
      </c>
      <c r="E286" s="9">
        <f>1809.5</f>
        <v>1809.5</v>
      </c>
      <c r="F286" s="9">
        <f>1281.47</f>
        <v>1281.47</v>
      </c>
      <c r="G286" s="9">
        <f>2473.59</f>
        <v>2473.59</v>
      </c>
      <c r="H286" s="9">
        <f>1384.82</f>
        <v>1384.82</v>
      </c>
      <c r="I286" s="9">
        <f>1268.73</f>
        <v>1268.73</v>
      </c>
      <c r="J286" s="9">
        <f>1627.4</f>
        <v>1627.4</v>
      </c>
      <c r="K286" s="9">
        <f>1608.12</f>
        <v>1608.12</v>
      </c>
      <c r="L286" s="9">
        <f>1155.98</f>
        <v>1155.98</v>
      </c>
      <c r="M286" s="9">
        <f>1148.2</f>
        <v>1148.2</v>
      </c>
      <c r="N286" s="9">
        <f t="shared" si="155"/>
        <v>18612.62</v>
      </c>
    </row>
    <row r="287" spans="1:14" x14ac:dyDescent="0.25">
      <c r="A287" s="3" t="s">
        <v>294</v>
      </c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9">
        <f t="shared" si="155"/>
        <v>0</v>
      </c>
    </row>
    <row r="288" spans="1:14" x14ac:dyDescent="0.25">
      <c r="A288" s="3" t="s">
        <v>295</v>
      </c>
      <c r="B288" s="9">
        <f t="shared" ref="B288:L288" si="172">6757.93</f>
        <v>6757.93</v>
      </c>
      <c r="C288" s="9">
        <f t="shared" si="172"/>
        <v>6757.93</v>
      </c>
      <c r="D288" s="9">
        <f t="shared" si="172"/>
        <v>6757.93</v>
      </c>
      <c r="E288" s="9">
        <f t="shared" si="172"/>
        <v>6757.93</v>
      </c>
      <c r="F288" s="9">
        <f t="shared" si="172"/>
        <v>6757.93</v>
      </c>
      <c r="G288" s="9">
        <f t="shared" si="172"/>
        <v>6757.93</v>
      </c>
      <c r="H288" s="9">
        <f t="shared" si="172"/>
        <v>6757.93</v>
      </c>
      <c r="I288" s="9">
        <f t="shared" si="172"/>
        <v>6757.93</v>
      </c>
      <c r="J288" s="9">
        <f t="shared" si="172"/>
        <v>6757.93</v>
      </c>
      <c r="K288" s="9">
        <f t="shared" si="172"/>
        <v>6757.93</v>
      </c>
      <c r="L288" s="9">
        <f t="shared" si="172"/>
        <v>6757.93</v>
      </c>
      <c r="M288" s="9">
        <f>6757.97</f>
        <v>6757.97</v>
      </c>
      <c r="N288" s="9">
        <f t="shared" si="155"/>
        <v>81095.200000000012</v>
      </c>
    </row>
    <row r="289" spans="1:14" x14ac:dyDescent="0.25">
      <c r="A289" s="3" t="s">
        <v>296</v>
      </c>
      <c r="B289" s="9">
        <f>390</f>
        <v>390</v>
      </c>
      <c r="C289" s="9">
        <f>390</f>
        <v>390</v>
      </c>
      <c r="D289" s="9">
        <f>390</f>
        <v>390</v>
      </c>
      <c r="E289" s="9">
        <f>390</f>
        <v>390</v>
      </c>
      <c r="F289" s="9">
        <f>390</f>
        <v>390</v>
      </c>
      <c r="G289" s="9">
        <f>390</f>
        <v>390</v>
      </c>
      <c r="H289" s="9">
        <f>390</f>
        <v>390</v>
      </c>
      <c r="I289" s="9">
        <f>390</f>
        <v>390</v>
      </c>
      <c r="J289" s="9">
        <f>390</f>
        <v>390</v>
      </c>
      <c r="K289" s="9">
        <f>390</f>
        <v>390</v>
      </c>
      <c r="L289" s="9">
        <f>390</f>
        <v>390</v>
      </c>
      <c r="M289" s="9">
        <f>390</f>
        <v>390</v>
      </c>
      <c r="N289" s="9">
        <f t="shared" si="155"/>
        <v>4680</v>
      </c>
    </row>
    <row r="290" spans="1:14" x14ac:dyDescent="0.25">
      <c r="A290" s="3" t="s">
        <v>297</v>
      </c>
      <c r="B290" s="9">
        <f>642</f>
        <v>642</v>
      </c>
      <c r="C290" s="9">
        <f>642</f>
        <v>642</v>
      </c>
      <c r="D290" s="9">
        <f>642</f>
        <v>642</v>
      </c>
      <c r="E290" s="9">
        <f>642</f>
        <v>642</v>
      </c>
      <c r="F290" s="9">
        <f>642</f>
        <v>642</v>
      </c>
      <c r="G290" s="9">
        <f>642</f>
        <v>642</v>
      </c>
      <c r="H290" s="9">
        <f>642</f>
        <v>642</v>
      </c>
      <c r="I290" s="9">
        <f>642</f>
        <v>642</v>
      </c>
      <c r="J290" s="9">
        <f>642</f>
        <v>642</v>
      </c>
      <c r="K290" s="9">
        <f>642</f>
        <v>642</v>
      </c>
      <c r="L290" s="9">
        <f>642</f>
        <v>642</v>
      </c>
      <c r="M290" s="9">
        <f>642</f>
        <v>642</v>
      </c>
      <c r="N290" s="9">
        <f t="shared" si="155"/>
        <v>7704</v>
      </c>
    </row>
    <row r="291" spans="1:14" x14ac:dyDescent="0.25">
      <c r="A291" s="3" t="s">
        <v>298</v>
      </c>
      <c r="B291" s="10">
        <f t="shared" ref="B291:M291" si="173">(((B287)+(B288))+(B289))+(B290)</f>
        <v>7789.93</v>
      </c>
      <c r="C291" s="10">
        <f t="shared" si="173"/>
        <v>7789.93</v>
      </c>
      <c r="D291" s="10">
        <f t="shared" si="173"/>
        <v>7789.93</v>
      </c>
      <c r="E291" s="10">
        <f t="shared" si="173"/>
        <v>7789.93</v>
      </c>
      <c r="F291" s="10">
        <f t="shared" si="173"/>
        <v>7789.93</v>
      </c>
      <c r="G291" s="10">
        <f t="shared" si="173"/>
        <v>7789.93</v>
      </c>
      <c r="H291" s="10">
        <f t="shared" si="173"/>
        <v>7789.93</v>
      </c>
      <c r="I291" s="10">
        <f t="shared" si="173"/>
        <v>7789.93</v>
      </c>
      <c r="J291" s="10">
        <f t="shared" si="173"/>
        <v>7789.93</v>
      </c>
      <c r="K291" s="10">
        <f t="shared" si="173"/>
        <v>7789.93</v>
      </c>
      <c r="L291" s="10">
        <f t="shared" si="173"/>
        <v>7789.93</v>
      </c>
      <c r="M291" s="10">
        <f t="shared" si="173"/>
        <v>7789.97</v>
      </c>
      <c r="N291" s="10">
        <f t="shared" si="155"/>
        <v>93479.199999999983</v>
      </c>
    </row>
    <row r="292" spans="1:14" x14ac:dyDescent="0.25">
      <c r="A292" s="3" t="s">
        <v>299</v>
      </c>
      <c r="B292" s="9">
        <f>0</f>
        <v>0</v>
      </c>
      <c r="C292" s="9">
        <f>0</f>
        <v>0</v>
      </c>
      <c r="D292" s="9">
        <f>100</f>
        <v>100</v>
      </c>
      <c r="E292" s="9">
        <f>0</f>
        <v>0</v>
      </c>
      <c r="F292" s="9">
        <f>0</f>
        <v>0</v>
      </c>
      <c r="G292" s="9">
        <f>0</f>
        <v>0</v>
      </c>
      <c r="H292" s="9">
        <f>100</f>
        <v>100</v>
      </c>
      <c r="I292" s="9">
        <f>0</f>
        <v>0</v>
      </c>
      <c r="J292" s="9">
        <f>0</f>
        <v>0</v>
      </c>
      <c r="K292" s="9">
        <f>0</f>
        <v>0</v>
      </c>
      <c r="L292" s="9">
        <f>0</f>
        <v>0</v>
      </c>
      <c r="M292" s="9">
        <f>0</f>
        <v>0</v>
      </c>
      <c r="N292" s="9">
        <f t="shared" si="155"/>
        <v>200</v>
      </c>
    </row>
    <row r="293" spans="1:14" x14ac:dyDescent="0.25">
      <c r="A293" s="3" t="s">
        <v>300</v>
      </c>
      <c r="B293" s="9">
        <f>4.13</f>
        <v>4.13</v>
      </c>
      <c r="C293" s="9">
        <f t="shared" ref="C293:M294" si="174">4.17</f>
        <v>4.17</v>
      </c>
      <c r="D293" s="9">
        <f t="shared" si="174"/>
        <v>4.17</v>
      </c>
      <c r="E293" s="9">
        <f t="shared" si="174"/>
        <v>4.17</v>
      </c>
      <c r="F293" s="9">
        <f t="shared" si="174"/>
        <v>4.17</v>
      </c>
      <c r="G293" s="9">
        <f t="shared" si="174"/>
        <v>4.17</v>
      </c>
      <c r="H293" s="9">
        <f t="shared" si="174"/>
        <v>4.17</v>
      </c>
      <c r="I293" s="9">
        <f t="shared" si="174"/>
        <v>4.17</v>
      </c>
      <c r="J293" s="9">
        <f t="shared" si="174"/>
        <v>4.17</v>
      </c>
      <c r="K293" s="9">
        <f t="shared" si="174"/>
        <v>4.17</v>
      </c>
      <c r="L293" s="9">
        <f t="shared" si="174"/>
        <v>4.17</v>
      </c>
      <c r="M293" s="9">
        <f t="shared" si="174"/>
        <v>4.17</v>
      </c>
      <c r="N293" s="9">
        <f t="shared" si="155"/>
        <v>50.000000000000014</v>
      </c>
    </row>
    <row r="294" spans="1:14" x14ac:dyDescent="0.25">
      <c r="A294" s="3" t="s">
        <v>301</v>
      </c>
      <c r="B294" s="9">
        <f>4.13</f>
        <v>4.13</v>
      </c>
      <c r="C294" s="9">
        <f t="shared" si="174"/>
        <v>4.17</v>
      </c>
      <c r="D294" s="9">
        <f t="shared" si="174"/>
        <v>4.17</v>
      </c>
      <c r="E294" s="9">
        <f t="shared" si="174"/>
        <v>4.17</v>
      </c>
      <c r="F294" s="9">
        <f t="shared" si="174"/>
        <v>4.17</v>
      </c>
      <c r="G294" s="9">
        <f t="shared" si="174"/>
        <v>4.17</v>
      </c>
      <c r="H294" s="9">
        <f t="shared" si="174"/>
        <v>4.17</v>
      </c>
      <c r="I294" s="9">
        <f t="shared" si="174"/>
        <v>4.17</v>
      </c>
      <c r="J294" s="9">
        <f t="shared" si="174"/>
        <v>4.17</v>
      </c>
      <c r="K294" s="9">
        <f t="shared" si="174"/>
        <v>4.17</v>
      </c>
      <c r="L294" s="9">
        <f t="shared" si="174"/>
        <v>4.17</v>
      </c>
      <c r="M294" s="9">
        <f t="shared" si="174"/>
        <v>4.17</v>
      </c>
      <c r="N294" s="9">
        <f t="shared" si="155"/>
        <v>50.000000000000014</v>
      </c>
    </row>
    <row r="295" spans="1:14" x14ac:dyDescent="0.25">
      <c r="A295" s="3" t="s">
        <v>302</v>
      </c>
      <c r="B295" s="9">
        <f t="shared" ref="B295:M295" si="175">37.5</f>
        <v>37.5</v>
      </c>
      <c r="C295" s="9">
        <f t="shared" si="175"/>
        <v>37.5</v>
      </c>
      <c r="D295" s="9">
        <f t="shared" si="175"/>
        <v>37.5</v>
      </c>
      <c r="E295" s="9">
        <f t="shared" si="175"/>
        <v>37.5</v>
      </c>
      <c r="F295" s="9">
        <f t="shared" si="175"/>
        <v>37.5</v>
      </c>
      <c r="G295" s="9">
        <f t="shared" si="175"/>
        <v>37.5</v>
      </c>
      <c r="H295" s="9">
        <f t="shared" si="175"/>
        <v>37.5</v>
      </c>
      <c r="I295" s="9">
        <f t="shared" si="175"/>
        <v>37.5</v>
      </c>
      <c r="J295" s="9">
        <f t="shared" si="175"/>
        <v>37.5</v>
      </c>
      <c r="K295" s="9">
        <f t="shared" si="175"/>
        <v>37.5</v>
      </c>
      <c r="L295" s="9">
        <f t="shared" si="175"/>
        <v>37.5</v>
      </c>
      <c r="M295" s="9">
        <f t="shared" si="175"/>
        <v>37.5</v>
      </c>
      <c r="N295" s="9">
        <f t="shared" si="155"/>
        <v>450</v>
      </c>
    </row>
    <row r="296" spans="1:14" x14ac:dyDescent="0.25">
      <c r="A296" s="3" t="s">
        <v>303</v>
      </c>
      <c r="B296" s="10">
        <f t="shared" ref="B296:M296" si="176">(((((((B284)+(B285))+(B286))+(B291))+(B292))+(B293))+(B294))+(B295)</f>
        <v>14154.73</v>
      </c>
      <c r="C296" s="10">
        <f t="shared" si="176"/>
        <v>13568.87</v>
      </c>
      <c r="D296" s="10">
        <f t="shared" si="176"/>
        <v>13436.52</v>
      </c>
      <c r="E296" s="10">
        <f t="shared" si="176"/>
        <v>13877.95</v>
      </c>
      <c r="F296" s="10">
        <f t="shared" si="176"/>
        <v>13349.920000000002</v>
      </c>
      <c r="G296" s="10">
        <f t="shared" si="176"/>
        <v>14542.04</v>
      </c>
      <c r="H296" s="10">
        <f t="shared" si="176"/>
        <v>13553.27</v>
      </c>
      <c r="I296" s="10">
        <f t="shared" si="176"/>
        <v>13337.18</v>
      </c>
      <c r="J296" s="10">
        <f t="shared" si="176"/>
        <v>13695.85</v>
      </c>
      <c r="K296" s="10">
        <f t="shared" si="176"/>
        <v>13676.57</v>
      </c>
      <c r="L296" s="10">
        <f t="shared" si="176"/>
        <v>13224.43</v>
      </c>
      <c r="M296" s="10">
        <f t="shared" si="176"/>
        <v>13216.69</v>
      </c>
      <c r="N296" s="10">
        <f t="shared" si="155"/>
        <v>163634.02000000002</v>
      </c>
    </row>
    <row r="297" spans="1:14" x14ac:dyDescent="0.25">
      <c r="A297" s="3" t="s">
        <v>304</v>
      </c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9">
        <f t="shared" si="155"/>
        <v>0</v>
      </c>
    </row>
    <row r="298" spans="1:14" x14ac:dyDescent="0.25">
      <c r="A298" s="3" t="s">
        <v>305</v>
      </c>
      <c r="B298" s="9">
        <f t="shared" ref="B298:K298" si="177">3588.07</f>
        <v>3588.07</v>
      </c>
      <c r="C298" s="9">
        <f t="shared" si="177"/>
        <v>3588.07</v>
      </c>
      <c r="D298" s="9">
        <f t="shared" si="177"/>
        <v>3588.07</v>
      </c>
      <c r="E298" s="9">
        <f t="shared" si="177"/>
        <v>3588.07</v>
      </c>
      <c r="F298" s="9">
        <f t="shared" si="177"/>
        <v>3588.07</v>
      </c>
      <c r="G298" s="9">
        <f t="shared" si="177"/>
        <v>3588.07</v>
      </c>
      <c r="H298" s="9">
        <f t="shared" si="177"/>
        <v>3588.07</v>
      </c>
      <c r="I298" s="9">
        <f t="shared" si="177"/>
        <v>3588.07</v>
      </c>
      <c r="J298" s="9">
        <f t="shared" si="177"/>
        <v>3588.07</v>
      </c>
      <c r="K298" s="9">
        <f t="shared" si="177"/>
        <v>3588.07</v>
      </c>
      <c r="L298" s="9">
        <f>3588.02</f>
        <v>3588.02</v>
      </c>
      <c r="M298" s="9">
        <f>3588.07</f>
        <v>3588.07</v>
      </c>
      <c r="N298" s="9">
        <f t="shared" si="155"/>
        <v>43056.79</v>
      </c>
    </row>
    <row r="299" spans="1:14" x14ac:dyDescent="0.25">
      <c r="A299" s="3" t="s">
        <v>306</v>
      </c>
      <c r="B299" s="9">
        <f>11855.6</f>
        <v>11855.6</v>
      </c>
      <c r="C299" s="9">
        <f>8526.19</f>
        <v>8526.19</v>
      </c>
      <c r="D299" s="9">
        <f>7205.83</f>
        <v>7205.83</v>
      </c>
      <c r="E299" s="9">
        <f>10282.55</f>
        <v>10282.549999999999</v>
      </c>
      <c r="F299" s="9">
        <f>7281.99</f>
        <v>7281.99</v>
      </c>
      <c r="G299" s="9">
        <f>14056.29</f>
        <v>14056.29</v>
      </c>
      <c r="H299" s="9">
        <f>7869.3</f>
        <v>7869.3</v>
      </c>
      <c r="I299" s="9">
        <f>7209.62</f>
        <v>7209.62</v>
      </c>
      <c r="J299" s="9">
        <f>9247.76</f>
        <v>9247.76</v>
      </c>
      <c r="K299" s="9">
        <f>9138.21</f>
        <v>9138.2099999999991</v>
      </c>
      <c r="L299" s="9">
        <f>6568.92</f>
        <v>6568.92</v>
      </c>
      <c r="M299" s="9">
        <f>6524.72</f>
        <v>6524.72</v>
      </c>
      <c r="N299" s="9">
        <f t="shared" si="155"/>
        <v>105766.98</v>
      </c>
    </row>
    <row r="300" spans="1:14" x14ac:dyDescent="0.25">
      <c r="A300" s="3" t="s">
        <v>307</v>
      </c>
      <c r="B300" s="9">
        <f>16.63</f>
        <v>16.63</v>
      </c>
      <c r="C300" s="9">
        <f t="shared" ref="C300:M300" si="178">16.67</f>
        <v>16.670000000000002</v>
      </c>
      <c r="D300" s="9">
        <f t="shared" si="178"/>
        <v>16.670000000000002</v>
      </c>
      <c r="E300" s="9">
        <f t="shared" si="178"/>
        <v>16.670000000000002</v>
      </c>
      <c r="F300" s="9">
        <f t="shared" si="178"/>
        <v>16.670000000000002</v>
      </c>
      <c r="G300" s="9">
        <f t="shared" si="178"/>
        <v>16.670000000000002</v>
      </c>
      <c r="H300" s="9">
        <f t="shared" si="178"/>
        <v>16.670000000000002</v>
      </c>
      <c r="I300" s="9">
        <f t="shared" si="178"/>
        <v>16.670000000000002</v>
      </c>
      <c r="J300" s="9">
        <f t="shared" si="178"/>
        <v>16.670000000000002</v>
      </c>
      <c r="K300" s="9">
        <f t="shared" si="178"/>
        <v>16.670000000000002</v>
      </c>
      <c r="L300" s="9">
        <f t="shared" si="178"/>
        <v>16.670000000000002</v>
      </c>
      <c r="M300" s="9">
        <f t="shared" si="178"/>
        <v>16.670000000000002</v>
      </c>
      <c r="N300" s="9">
        <f t="shared" si="155"/>
        <v>200.00000000000006</v>
      </c>
    </row>
    <row r="301" spans="1:14" x14ac:dyDescent="0.25">
      <c r="A301" s="3" t="s">
        <v>308</v>
      </c>
      <c r="B301" s="9">
        <f>1416.63</f>
        <v>1416.63</v>
      </c>
      <c r="C301" s="9">
        <f t="shared" ref="C301:M301" si="179">1416.67</f>
        <v>1416.67</v>
      </c>
      <c r="D301" s="9">
        <f t="shared" si="179"/>
        <v>1416.67</v>
      </c>
      <c r="E301" s="9">
        <f t="shared" si="179"/>
        <v>1416.67</v>
      </c>
      <c r="F301" s="9">
        <f t="shared" si="179"/>
        <v>1416.67</v>
      </c>
      <c r="G301" s="9">
        <f t="shared" si="179"/>
        <v>1416.67</v>
      </c>
      <c r="H301" s="9">
        <f t="shared" si="179"/>
        <v>1416.67</v>
      </c>
      <c r="I301" s="9">
        <f t="shared" si="179"/>
        <v>1416.67</v>
      </c>
      <c r="J301" s="9">
        <f t="shared" si="179"/>
        <v>1416.67</v>
      </c>
      <c r="K301" s="9">
        <f t="shared" si="179"/>
        <v>1416.67</v>
      </c>
      <c r="L301" s="9">
        <f t="shared" si="179"/>
        <v>1416.67</v>
      </c>
      <c r="M301" s="9">
        <f t="shared" si="179"/>
        <v>1416.67</v>
      </c>
      <c r="N301" s="9">
        <f t="shared" si="155"/>
        <v>17000</v>
      </c>
    </row>
    <row r="302" spans="1:14" x14ac:dyDescent="0.25">
      <c r="A302" s="3" t="s">
        <v>309</v>
      </c>
      <c r="B302" s="9">
        <f>4333.37</f>
        <v>4333.37</v>
      </c>
      <c r="C302" s="9">
        <f t="shared" ref="C302:M302" si="180">4333.33</f>
        <v>4333.33</v>
      </c>
      <c r="D302" s="9">
        <f t="shared" si="180"/>
        <v>4333.33</v>
      </c>
      <c r="E302" s="9">
        <f t="shared" si="180"/>
        <v>4333.33</v>
      </c>
      <c r="F302" s="9">
        <f t="shared" si="180"/>
        <v>4333.33</v>
      </c>
      <c r="G302" s="9">
        <f t="shared" si="180"/>
        <v>4333.33</v>
      </c>
      <c r="H302" s="9">
        <f t="shared" si="180"/>
        <v>4333.33</v>
      </c>
      <c r="I302" s="9">
        <f t="shared" si="180"/>
        <v>4333.33</v>
      </c>
      <c r="J302" s="9">
        <f t="shared" si="180"/>
        <v>4333.33</v>
      </c>
      <c r="K302" s="9">
        <f t="shared" si="180"/>
        <v>4333.33</v>
      </c>
      <c r="L302" s="9">
        <f t="shared" si="180"/>
        <v>4333.33</v>
      </c>
      <c r="M302" s="9">
        <f t="shared" si="180"/>
        <v>4333.33</v>
      </c>
      <c r="N302" s="9">
        <f t="shared" si="155"/>
        <v>52000.000000000015</v>
      </c>
    </row>
    <row r="303" spans="1:14" x14ac:dyDescent="0.25">
      <c r="A303" s="3" t="s">
        <v>310</v>
      </c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9">
        <f t="shared" si="155"/>
        <v>0</v>
      </c>
    </row>
    <row r="304" spans="1:14" x14ac:dyDescent="0.25">
      <c r="A304" s="3" t="s">
        <v>311</v>
      </c>
      <c r="B304" s="9">
        <f t="shared" ref="B304:M304" si="181">70942.59</f>
        <v>70942.59</v>
      </c>
      <c r="C304" s="9">
        <f t="shared" si="181"/>
        <v>70942.59</v>
      </c>
      <c r="D304" s="9">
        <f t="shared" si="181"/>
        <v>70942.59</v>
      </c>
      <c r="E304" s="9">
        <f t="shared" si="181"/>
        <v>70942.59</v>
      </c>
      <c r="F304" s="9">
        <f t="shared" si="181"/>
        <v>70942.59</v>
      </c>
      <c r="G304" s="9">
        <f t="shared" si="181"/>
        <v>70942.59</v>
      </c>
      <c r="H304" s="9">
        <f t="shared" si="181"/>
        <v>70942.59</v>
      </c>
      <c r="I304" s="9">
        <f t="shared" si="181"/>
        <v>70942.59</v>
      </c>
      <c r="J304" s="9">
        <f t="shared" si="181"/>
        <v>70942.59</v>
      </c>
      <c r="K304" s="9">
        <f t="shared" si="181"/>
        <v>70942.59</v>
      </c>
      <c r="L304" s="9">
        <f t="shared" si="181"/>
        <v>70942.59</v>
      </c>
      <c r="M304" s="9">
        <f t="shared" si="181"/>
        <v>70942.59</v>
      </c>
      <c r="N304" s="9">
        <f t="shared" si="155"/>
        <v>851311.07999999973</v>
      </c>
    </row>
    <row r="305" spans="1:14" x14ac:dyDescent="0.25">
      <c r="A305" s="3" t="s">
        <v>312</v>
      </c>
      <c r="B305" s="9">
        <f>4290</f>
        <v>4290</v>
      </c>
      <c r="C305" s="9">
        <f>4290</f>
        <v>4290</v>
      </c>
      <c r="D305" s="9">
        <f>4290</f>
        <v>4290</v>
      </c>
      <c r="E305" s="9">
        <f>4290</f>
        <v>4290</v>
      </c>
      <c r="F305" s="9">
        <f>4290</f>
        <v>4290</v>
      </c>
      <c r="G305" s="9">
        <f>4290</f>
        <v>4290</v>
      </c>
      <c r="H305" s="9">
        <f>4290</f>
        <v>4290</v>
      </c>
      <c r="I305" s="9">
        <f>4290</f>
        <v>4290</v>
      </c>
      <c r="J305" s="9">
        <f>4290</f>
        <v>4290</v>
      </c>
      <c r="K305" s="9">
        <f>4290</f>
        <v>4290</v>
      </c>
      <c r="L305" s="9">
        <f>4290</f>
        <v>4290</v>
      </c>
      <c r="M305" s="9">
        <f>4290</f>
        <v>4290</v>
      </c>
      <c r="N305" s="9">
        <f t="shared" si="155"/>
        <v>51480</v>
      </c>
    </row>
    <row r="306" spans="1:14" x14ac:dyDescent="0.25">
      <c r="A306" s="3" t="s">
        <v>313</v>
      </c>
      <c r="B306" s="9">
        <f>6739.5</f>
        <v>6739.5</v>
      </c>
      <c r="C306" s="9">
        <f t="shared" ref="C306:M306" si="182">6739.55</f>
        <v>6739.55</v>
      </c>
      <c r="D306" s="9">
        <f t="shared" si="182"/>
        <v>6739.55</v>
      </c>
      <c r="E306" s="9">
        <f t="shared" si="182"/>
        <v>6739.55</v>
      </c>
      <c r="F306" s="9">
        <f t="shared" si="182"/>
        <v>6739.55</v>
      </c>
      <c r="G306" s="9">
        <f t="shared" si="182"/>
        <v>6739.55</v>
      </c>
      <c r="H306" s="9">
        <f t="shared" si="182"/>
        <v>6739.55</v>
      </c>
      <c r="I306" s="9">
        <f t="shared" si="182"/>
        <v>6739.55</v>
      </c>
      <c r="J306" s="9">
        <f t="shared" si="182"/>
        <v>6739.55</v>
      </c>
      <c r="K306" s="9">
        <f t="shared" si="182"/>
        <v>6739.55</v>
      </c>
      <c r="L306" s="9">
        <f t="shared" si="182"/>
        <v>6739.55</v>
      </c>
      <c r="M306" s="9">
        <f t="shared" si="182"/>
        <v>6739.55</v>
      </c>
      <c r="N306" s="9">
        <f t="shared" si="155"/>
        <v>80874.550000000017</v>
      </c>
    </row>
    <row r="307" spans="1:14" x14ac:dyDescent="0.25">
      <c r="A307" s="3" t="s">
        <v>314</v>
      </c>
      <c r="B307" s="10">
        <f t="shared" ref="B307:M307" si="183">(((B303)+(B304))+(B305))+(B306)</f>
        <v>81972.09</v>
      </c>
      <c r="C307" s="10">
        <f t="shared" si="183"/>
        <v>81972.14</v>
      </c>
      <c r="D307" s="10">
        <f t="shared" si="183"/>
        <v>81972.14</v>
      </c>
      <c r="E307" s="10">
        <f t="shared" si="183"/>
        <v>81972.14</v>
      </c>
      <c r="F307" s="10">
        <f t="shared" si="183"/>
        <v>81972.14</v>
      </c>
      <c r="G307" s="10">
        <f t="shared" si="183"/>
        <v>81972.14</v>
      </c>
      <c r="H307" s="10">
        <f t="shared" si="183"/>
        <v>81972.14</v>
      </c>
      <c r="I307" s="10">
        <f t="shared" si="183"/>
        <v>81972.14</v>
      </c>
      <c r="J307" s="10">
        <f t="shared" si="183"/>
        <v>81972.14</v>
      </c>
      <c r="K307" s="10">
        <f t="shared" si="183"/>
        <v>81972.14</v>
      </c>
      <c r="L307" s="10">
        <f t="shared" si="183"/>
        <v>81972.14</v>
      </c>
      <c r="M307" s="10">
        <f t="shared" si="183"/>
        <v>81972.14</v>
      </c>
      <c r="N307" s="10">
        <f t="shared" si="155"/>
        <v>983665.63000000012</v>
      </c>
    </row>
    <row r="308" spans="1:14" x14ac:dyDescent="0.25">
      <c r="A308" s="3" t="s">
        <v>315</v>
      </c>
      <c r="B308" s="9">
        <f>41.63</f>
        <v>41.63</v>
      </c>
      <c r="C308" s="9">
        <f t="shared" ref="C308:M308" si="184">41.67</f>
        <v>41.67</v>
      </c>
      <c r="D308" s="9">
        <f t="shared" si="184"/>
        <v>41.67</v>
      </c>
      <c r="E308" s="9">
        <f t="shared" si="184"/>
        <v>41.67</v>
      </c>
      <c r="F308" s="9">
        <f t="shared" si="184"/>
        <v>41.67</v>
      </c>
      <c r="G308" s="9">
        <f t="shared" si="184"/>
        <v>41.67</v>
      </c>
      <c r="H308" s="9">
        <f t="shared" si="184"/>
        <v>41.67</v>
      </c>
      <c r="I308" s="9">
        <f t="shared" si="184"/>
        <v>41.67</v>
      </c>
      <c r="J308" s="9">
        <f t="shared" si="184"/>
        <v>41.67</v>
      </c>
      <c r="K308" s="9">
        <f t="shared" si="184"/>
        <v>41.67</v>
      </c>
      <c r="L308" s="9">
        <f t="shared" si="184"/>
        <v>41.67</v>
      </c>
      <c r="M308" s="9">
        <f t="shared" si="184"/>
        <v>41.67</v>
      </c>
      <c r="N308" s="9">
        <f t="shared" si="155"/>
        <v>500.00000000000011</v>
      </c>
    </row>
    <row r="309" spans="1:14" x14ac:dyDescent="0.25">
      <c r="A309" s="3" t="s">
        <v>316</v>
      </c>
      <c r="B309" s="10">
        <f t="shared" ref="B309:M309" si="185">(((((((B297)+(B298))+(B299))+(B300))+(B301))+(B302))+(B307))+(B308)</f>
        <v>103224.02</v>
      </c>
      <c r="C309" s="10">
        <f t="shared" si="185"/>
        <v>99894.74</v>
      </c>
      <c r="D309" s="10">
        <f t="shared" si="185"/>
        <v>98574.37999999999</v>
      </c>
      <c r="E309" s="10">
        <f t="shared" si="185"/>
        <v>101651.09999999999</v>
      </c>
      <c r="F309" s="10">
        <f t="shared" si="185"/>
        <v>98650.54</v>
      </c>
      <c r="G309" s="10">
        <f t="shared" si="185"/>
        <v>105424.84</v>
      </c>
      <c r="H309" s="10">
        <f t="shared" si="185"/>
        <v>99237.849999999991</v>
      </c>
      <c r="I309" s="10">
        <f t="shared" si="185"/>
        <v>98578.17</v>
      </c>
      <c r="J309" s="10">
        <f t="shared" si="185"/>
        <v>100616.31</v>
      </c>
      <c r="K309" s="10">
        <f t="shared" si="185"/>
        <v>100506.76</v>
      </c>
      <c r="L309" s="10">
        <f t="shared" si="185"/>
        <v>97937.42</v>
      </c>
      <c r="M309" s="10">
        <f t="shared" si="185"/>
        <v>97893.27</v>
      </c>
      <c r="N309" s="10">
        <f t="shared" si="155"/>
        <v>1202189.3999999999</v>
      </c>
    </row>
    <row r="310" spans="1:14" x14ac:dyDescent="0.25">
      <c r="A310" s="3" t="s">
        <v>317</v>
      </c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9">
        <f t="shared" si="155"/>
        <v>0</v>
      </c>
    </row>
    <row r="311" spans="1:14" x14ac:dyDescent="0.25">
      <c r="A311" s="3" t="s">
        <v>318</v>
      </c>
      <c r="B311" s="9">
        <f>3187.48</f>
        <v>3187.48</v>
      </c>
      <c r="C311" s="9">
        <f t="shared" ref="C311:M311" si="186">3187.5</f>
        <v>3187.5</v>
      </c>
      <c r="D311" s="9">
        <f t="shared" si="186"/>
        <v>3187.5</v>
      </c>
      <c r="E311" s="9">
        <f t="shared" si="186"/>
        <v>3187.5</v>
      </c>
      <c r="F311" s="9">
        <f t="shared" si="186"/>
        <v>3187.5</v>
      </c>
      <c r="G311" s="9">
        <f t="shared" si="186"/>
        <v>3187.5</v>
      </c>
      <c r="H311" s="9">
        <f t="shared" si="186"/>
        <v>3187.5</v>
      </c>
      <c r="I311" s="9">
        <f t="shared" si="186"/>
        <v>3187.5</v>
      </c>
      <c r="J311" s="9">
        <f t="shared" si="186"/>
        <v>3187.5</v>
      </c>
      <c r="K311" s="9">
        <f t="shared" si="186"/>
        <v>3187.5</v>
      </c>
      <c r="L311" s="9">
        <f t="shared" si="186"/>
        <v>3187.5</v>
      </c>
      <c r="M311" s="9">
        <f t="shared" si="186"/>
        <v>3187.5</v>
      </c>
      <c r="N311" s="9">
        <f t="shared" si="155"/>
        <v>38249.979999999996</v>
      </c>
    </row>
    <row r="312" spans="1:14" x14ac:dyDescent="0.25">
      <c r="A312" s="3" t="s">
        <v>319</v>
      </c>
      <c r="B312" s="9">
        <f>3157.08</f>
        <v>3157.08</v>
      </c>
      <c r="C312" s="9">
        <f>2270.47</f>
        <v>2270.4699999999998</v>
      </c>
      <c r="D312" s="9">
        <f>1918.87</f>
        <v>1918.87</v>
      </c>
      <c r="E312" s="9">
        <f>2738.18</f>
        <v>2738.18</v>
      </c>
      <c r="F312" s="9">
        <f>1939.15</f>
        <v>1939.15</v>
      </c>
      <c r="G312" s="9">
        <f>3743.11</f>
        <v>3743.11</v>
      </c>
      <c r="H312" s="9">
        <f>2095.55</f>
        <v>2095.5500000000002</v>
      </c>
      <c r="I312" s="9">
        <f>1919.88</f>
        <v>1919.88</v>
      </c>
      <c r="J312" s="9">
        <f>2462.62</f>
        <v>2462.62</v>
      </c>
      <c r="K312" s="9">
        <f>2433.45</f>
        <v>2433.4499999999998</v>
      </c>
      <c r="L312" s="9">
        <f>1749.27</f>
        <v>1749.27</v>
      </c>
      <c r="M312" s="9">
        <f>1737.49</f>
        <v>1737.49</v>
      </c>
      <c r="N312" s="9">
        <f t="shared" si="155"/>
        <v>28165.120000000003</v>
      </c>
    </row>
    <row r="313" spans="1:14" x14ac:dyDescent="0.25">
      <c r="A313" s="3" t="s">
        <v>320</v>
      </c>
      <c r="B313" s="9">
        <f t="shared" ref="B313:M313" si="187">25990.25</f>
        <v>25990.25</v>
      </c>
      <c r="C313" s="9">
        <f t="shared" si="187"/>
        <v>25990.25</v>
      </c>
      <c r="D313" s="9">
        <f t="shared" si="187"/>
        <v>25990.25</v>
      </c>
      <c r="E313" s="9">
        <f t="shared" si="187"/>
        <v>25990.25</v>
      </c>
      <c r="F313" s="9">
        <f t="shared" si="187"/>
        <v>25990.25</v>
      </c>
      <c r="G313" s="9">
        <f t="shared" si="187"/>
        <v>25990.25</v>
      </c>
      <c r="H313" s="9">
        <f t="shared" si="187"/>
        <v>25990.25</v>
      </c>
      <c r="I313" s="9">
        <f t="shared" si="187"/>
        <v>25990.25</v>
      </c>
      <c r="J313" s="9">
        <f t="shared" si="187"/>
        <v>25990.25</v>
      </c>
      <c r="K313" s="9">
        <f t="shared" si="187"/>
        <v>25990.25</v>
      </c>
      <c r="L313" s="9">
        <f t="shared" si="187"/>
        <v>25990.25</v>
      </c>
      <c r="M313" s="9">
        <f t="shared" si="187"/>
        <v>25990.25</v>
      </c>
      <c r="N313" s="9">
        <f t="shared" si="155"/>
        <v>311883</v>
      </c>
    </row>
    <row r="314" spans="1:14" x14ac:dyDescent="0.25">
      <c r="A314" s="3" t="s">
        <v>321</v>
      </c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9">
        <f t="shared" si="155"/>
        <v>0</v>
      </c>
    </row>
    <row r="315" spans="1:14" x14ac:dyDescent="0.25">
      <c r="A315" s="3" t="s">
        <v>322</v>
      </c>
      <c r="B315" s="9">
        <f>12202.3</f>
        <v>12202.3</v>
      </c>
      <c r="C315" s="9">
        <f t="shared" ref="C315:M315" si="188">12202.24</f>
        <v>12202.24</v>
      </c>
      <c r="D315" s="9">
        <f t="shared" si="188"/>
        <v>12202.24</v>
      </c>
      <c r="E315" s="9">
        <f t="shared" si="188"/>
        <v>12202.24</v>
      </c>
      <c r="F315" s="9">
        <f t="shared" si="188"/>
        <v>12202.24</v>
      </c>
      <c r="G315" s="9">
        <f t="shared" si="188"/>
        <v>12202.24</v>
      </c>
      <c r="H315" s="9">
        <f t="shared" si="188"/>
        <v>12202.24</v>
      </c>
      <c r="I315" s="9">
        <f t="shared" si="188"/>
        <v>12202.24</v>
      </c>
      <c r="J315" s="9">
        <f t="shared" si="188"/>
        <v>12202.24</v>
      </c>
      <c r="K315" s="9">
        <f t="shared" si="188"/>
        <v>12202.24</v>
      </c>
      <c r="L315" s="9">
        <f t="shared" si="188"/>
        <v>12202.24</v>
      </c>
      <c r="M315" s="9">
        <f t="shared" si="188"/>
        <v>12202.24</v>
      </c>
      <c r="N315" s="9">
        <f t="shared" si="155"/>
        <v>146426.94</v>
      </c>
    </row>
    <row r="316" spans="1:14" x14ac:dyDescent="0.25">
      <c r="A316" s="3" t="s">
        <v>323</v>
      </c>
      <c r="B316" s="9">
        <f>1950</f>
        <v>1950</v>
      </c>
      <c r="C316" s="9">
        <f>1950</f>
        <v>1950</v>
      </c>
      <c r="D316" s="9">
        <f>1950</f>
        <v>1950</v>
      </c>
      <c r="E316" s="9">
        <f>1950</f>
        <v>1950</v>
      </c>
      <c r="F316" s="9">
        <f>1950</f>
        <v>1950</v>
      </c>
      <c r="G316" s="9">
        <f>1950</f>
        <v>1950</v>
      </c>
      <c r="H316" s="9">
        <f>1950</f>
        <v>1950</v>
      </c>
      <c r="I316" s="9">
        <f>1950</f>
        <v>1950</v>
      </c>
      <c r="J316" s="9">
        <f>1950</f>
        <v>1950</v>
      </c>
      <c r="K316" s="9">
        <f>1950</f>
        <v>1950</v>
      </c>
      <c r="L316" s="9">
        <f>1950</f>
        <v>1950</v>
      </c>
      <c r="M316" s="9">
        <f>1950</f>
        <v>1950</v>
      </c>
      <c r="N316" s="9">
        <f t="shared" si="155"/>
        <v>23400</v>
      </c>
    </row>
    <row r="317" spans="1:14" x14ac:dyDescent="0.25">
      <c r="A317" s="3" t="s">
        <v>324</v>
      </c>
      <c r="B317" s="9">
        <f>1159.25</f>
        <v>1159.25</v>
      </c>
      <c r="C317" s="9">
        <f t="shared" ref="C317:M317" si="189">1159.21</f>
        <v>1159.21</v>
      </c>
      <c r="D317" s="9">
        <f t="shared" si="189"/>
        <v>1159.21</v>
      </c>
      <c r="E317" s="9">
        <f t="shared" si="189"/>
        <v>1159.21</v>
      </c>
      <c r="F317" s="9">
        <f t="shared" si="189"/>
        <v>1159.21</v>
      </c>
      <c r="G317" s="9">
        <f t="shared" si="189"/>
        <v>1159.21</v>
      </c>
      <c r="H317" s="9">
        <f t="shared" si="189"/>
        <v>1159.21</v>
      </c>
      <c r="I317" s="9">
        <f t="shared" si="189"/>
        <v>1159.21</v>
      </c>
      <c r="J317" s="9">
        <f t="shared" si="189"/>
        <v>1159.21</v>
      </c>
      <c r="K317" s="9">
        <f t="shared" si="189"/>
        <v>1159.21</v>
      </c>
      <c r="L317" s="9">
        <f t="shared" si="189"/>
        <v>1159.21</v>
      </c>
      <c r="M317" s="9">
        <f t="shared" si="189"/>
        <v>1159.21</v>
      </c>
      <c r="N317" s="9">
        <f t="shared" si="155"/>
        <v>13910.559999999998</v>
      </c>
    </row>
    <row r="318" spans="1:14" x14ac:dyDescent="0.25">
      <c r="A318" s="3" t="s">
        <v>325</v>
      </c>
      <c r="B318" s="10">
        <f t="shared" ref="B318:M318" si="190">(((B314)+(B315))+(B316))+(B317)</f>
        <v>15311.55</v>
      </c>
      <c r="C318" s="10">
        <f t="shared" si="190"/>
        <v>15311.45</v>
      </c>
      <c r="D318" s="10">
        <f t="shared" si="190"/>
        <v>15311.45</v>
      </c>
      <c r="E318" s="10">
        <f t="shared" si="190"/>
        <v>15311.45</v>
      </c>
      <c r="F318" s="10">
        <f t="shared" si="190"/>
        <v>15311.45</v>
      </c>
      <c r="G318" s="10">
        <f t="shared" si="190"/>
        <v>15311.45</v>
      </c>
      <c r="H318" s="10">
        <f t="shared" si="190"/>
        <v>15311.45</v>
      </c>
      <c r="I318" s="10">
        <f t="shared" si="190"/>
        <v>15311.45</v>
      </c>
      <c r="J318" s="10">
        <f t="shared" si="190"/>
        <v>15311.45</v>
      </c>
      <c r="K318" s="10">
        <f t="shared" si="190"/>
        <v>15311.45</v>
      </c>
      <c r="L318" s="10">
        <f t="shared" si="190"/>
        <v>15311.45</v>
      </c>
      <c r="M318" s="10">
        <f t="shared" si="190"/>
        <v>15311.45</v>
      </c>
      <c r="N318" s="10">
        <f t="shared" si="155"/>
        <v>183737.50000000003</v>
      </c>
    </row>
    <row r="319" spans="1:14" x14ac:dyDescent="0.25">
      <c r="A319" s="3" t="s">
        <v>326</v>
      </c>
      <c r="B319" s="9">
        <f>25</f>
        <v>25</v>
      </c>
      <c r="C319" s="9">
        <f>25</f>
        <v>25</v>
      </c>
      <c r="D319" s="9">
        <f>25</f>
        <v>25</v>
      </c>
      <c r="E319" s="9">
        <f>25</f>
        <v>25</v>
      </c>
      <c r="F319" s="9">
        <f>25</f>
        <v>25</v>
      </c>
      <c r="G319" s="9">
        <f>25</f>
        <v>25</v>
      </c>
      <c r="H319" s="9">
        <f>25</f>
        <v>25</v>
      </c>
      <c r="I319" s="9">
        <f>25</f>
        <v>25</v>
      </c>
      <c r="J319" s="9">
        <f>25</f>
        <v>25</v>
      </c>
      <c r="K319" s="9">
        <f>25</f>
        <v>25</v>
      </c>
      <c r="L319" s="9">
        <f>25</f>
        <v>25</v>
      </c>
      <c r="M319" s="9">
        <f>25</f>
        <v>25</v>
      </c>
      <c r="N319" s="9">
        <f t="shared" si="155"/>
        <v>300</v>
      </c>
    </row>
    <row r="320" spans="1:14" x14ac:dyDescent="0.25">
      <c r="A320" s="3" t="s">
        <v>327</v>
      </c>
      <c r="B320" s="9">
        <f>10.38</f>
        <v>10.38</v>
      </c>
      <c r="C320" s="9">
        <f t="shared" ref="C320:M320" si="191">10.42</f>
        <v>10.42</v>
      </c>
      <c r="D320" s="9">
        <f t="shared" si="191"/>
        <v>10.42</v>
      </c>
      <c r="E320" s="9">
        <f t="shared" si="191"/>
        <v>10.42</v>
      </c>
      <c r="F320" s="9">
        <f t="shared" si="191"/>
        <v>10.42</v>
      </c>
      <c r="G320" s="9">
        <f t="shared" si="191"/>
        <v>10.42</v>
      </c>
      <c r="H320" s="9">
        <f t="shared" si="191"/>
        <v>10.42</v>
      </c>
      <c r="I320" s="9">
        <f t="shared" si="191"/>
        <v>10.42</v>
      </c>
      <c r="J320" s="9">
        <f t="shared" si="191"/>
        <v>10.42</v>
      </c>
      <c r="K320" s="9">
        <f t="shared" si="191"/>
        <v>10.42</v>
      </c>
      <c r="L320" s="9">
        <f t="shared" si="191"/>
        <v>10.42</v>
      </c>
      <c r="M320" s="9">
        <f t="shared" si="191"/>
        <v>10.42</v>
      </c>
      <c r="N320" s="9">
        <f t="shared" si="155"/>
        <v>125.00000000000001</v>
      </c>
    </row>
    <row r="321" spans="1:14" x14ac:dyDescent="0.25">
      <c r="A321" s="3" t="s">
        <v>328</v>
      </c>
      <c r="B321" s="9">
        <f>41.63</f>
        <v>41.63</v>
      </c>
      <c r="C321" s="9">
        <f t="shared" ref="C321:M321" si="192">41.67</f>
        <v>41.67</v>
      </c>
      <c r="D321" s="9">
        <f t="shared" si="192"/>
        <v>41.67</v>
      </c>
      <c r="E321" s="9">
        <f t="shared" si="192"/>
        <v>41.67</v>
      </c>
      <c r="F321" s="9">
        <f t="shared" si="192"/>
        <v>41.67</v>
      </c>
      <c r="G321" s="9">
        <f t="shared" si="192"/>
        <v>41.67</v>
      </c>
      <c r="H321" s="9">
        <f t="shared" si="192"/>
        <v>41.67</v>
      </c>
      <c r="I321" s="9">
        <f t="shared" si="192"/>
        <v>41.67</v>
      </c>
      <c r="J321" s="9">
        <f t="shared" si="192"/>
        <v>41.67</v>
      </c>
      <c r="K321" s="9">
        <f t="shared" si="192"/>
        <v>41.67</v>
      </c>
      <c r="L321" s="9">
        <f t="shared" si="192"/>
        <v>41.67</v>
      </c>
      <c r="M321" s="9">
        <f t="shared" si="192"/>
        <v>41.67</v>
      </c>
      <c r="N321" s="9">
        <f t="shared" si="155"/>
        <v>500.00000000000011</v>
      </c>
    </row>
    <row r="322" spans="1:14" x14ac:dyDescent="0.25">
      <c r="A322" s="3" t="s">
        <v>329</v>
      </c>
      <c r="B322" s="10">
        <f t="shared" ref="B322:M322" si="193">(((((((B310)+(B311))+(B312))+(B313))+(B318))+(B319))+(B320))+(B321)</f>
        <v>47723.369999999995</v>
      </c>
      <c r="C322" s="10">
        <f t="shared" si="193"/>
        <v>46836.759999999995</v>
      </c>
      <c r="D322" s="10">
        <f t="shared" si="193"/>
        <v>46485.159999999996</v>
      </c>
      <c r="E322" s="10">
        <f t="shared" si="193"/>
        <v>47304.47</v>
      </c>
      <c r="F322" s="10">
        <f t="shared" si="193"/>
        <v>46505.440000000002</v>
      </c>
      <c r="G322" s="10">
        <f t="shared" si="193"/>
        <v>48309.399999999994</v>
      </c>
      <c r="H322" s="10">
        <f t="shared" si="193"/>
        <v>46661.84</v>
      </c>
      <c r="I322" s="10">
        <f t="shared" si="193"/>
        <v>46486.17</v>
      </c>
      <c r="J322" s="10">
        <f t="shared" si="193"/>
        <v>47028.909999999996</v>
      </c>
      <c r="K322" s="10">
        <f t="shared" si="193"/>
        <v>46999.74</v>
      </c>
      <c r="L322" s="10">
        <f t="shared" si="193"/>
        <v>46315.56</v>
      </c>
      <c r="M322" s="10">
        <f t="shared" si="193"/>
        <v>46303.78</v>
      </c>
      <c r="N322" s="10">
        <f t="shared" si="155"/>
        <v>562960.59999999986</v>
      </c>
    </row>
    <row r="323" spans="1:14" x14ac:dyDescent="0.25">
      <c r="A323" s="3" t="s">
        <v>330</v>
      </c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9">
        <f t="shared" si="155"/>
        <v>0</v>
      </c>
    </row>
    <row r="324" spans="1:14" x14ac:dyDescent="0.25">
      <c r="A324" s="3" t="s">
        <v>331</v>
      </c>
      <c r="B324" s="9">
        <f>3092.07</f>
        <v>3092.07</v>
      </c>
      <c r="C324" s="9">
        <f t="shared" ref="C324:M324" si="194">3092.09</f>
        <v>3092.09</v>
      </c>
      <c r="D324" s="9">
        <f t="shared" si="194"/>
        <v>3092.09</v>
      </c>
      <c r="E324" s="9">
        <f t="shared" si="194"/>
        <v>3092.09</v>
      </c>
      <c r="F324" s="9">
        <f t="shared" si="194"/>
        <v>3092.09</v>
      </c>
      <c r="G324" s="9">
        <f t="shared" si="194"/>
        <v>3092.09</v>
      </c>
      <c r="H324" s="9">
        <f t="shared" si="194"/>
        <v>3092.09</v>
      </c>
      <c r="I324" s="9">
        <f t="shared" si="194"/>
        <v>3092.09</v>
      </c>
      <c r="J324" s="9">
        <f t="shared" si="194"/>
        <v>3092.09</v>
      </c>
      <c r="K324" s="9">
        <f t="shared" si="194"/>
        <v>3092.09</v>
      </c>
      <c r="L324" s="9">
        <f t="shared" si="194"/>
        <v>3092.09</v>
      </c>
      <c r="M324" s="9">
        <f t="shared" si="194"/>
        <v>3092.09</v>
      </c>
      <c r="N324" s="9">
        <f t="shared" si="155"/>
        <v>37105.06</v>
      </c>
    </row>
    <row r="325" spans="1:14" x14ac:dyDescent="0.25">
      <c r="A325" s="3" t="s">
        <v>332</v>
      </c>
      <c r="B325" s="9">
        <f>2185.67</f>
        <v>2185.67</v>
      </c>
      <c r="C325" s="9">
        <f>1571.87</f>
        <v>1571.87</v>
      </c>
      <c r="D325" s="9">
        <f>1328.45</f>
        <v>1328.45</v>
      </c>
      <c r="E325" s="9">
        <f>1895.67</f>
        <v>1895.67</v>
      </c>
      <c r="F325" s="9">
        <f>1342.49</f>
        <v>1342.49</v>
      </c>
      <c r="G325" s="9">
        <f>2591.38</f>
        <v>2591.38</v>
      </c>
      <c r="H325" s="9">
        <f>1450.77</f>
        <v>1450.77</v>
      </c>
      <c r="I325" s="9">
        <f>1329.15</f>
        <v>1329.15</v>
      </c>
      <c r="J325" s="9">
        <f>1704.89</f>
        <v>1704.89</v>
      </c>
      <c r="K325" s="9">
        <f>1684.7</f>
        <v>1684.7</v>
      </c>
      <c r="L325" s="9">
        <f>1211.03</f>
        <v>1211.03</v>
      </c>
      <c r="M325" s="9">
        <f>1202.88</f>
        <v>1202.8800000000001</v>
      </c>
      <c r="N325" s="9">
        <f t="shared" si="155"/>
        <v>19498.949999999997</v>
      </c>
    </row>
    <row r="326" spans="1:14" x14ac:dyDescent="0.25">
      <c r="A326" s="3" t="s">
        <v>333</v>
      </c>
      <c r="B326" s="9">
        <f>2916.63</f>
        <v>2916.63</v>
      </c>
      <c r="C326" s="9">
        <f t="shared" ref="C326:M326" si="195">2916.67</f>
        <v>2916.67</v>
      </c>
      <c r="D326" s="9">
        <f t="shared" si="195"/>
        <v>2916.67</v>
      </c>
      <c r="E326" s="9">
        <f t="shared" si="195"/>
        <v>2916.67</v>
      </c>
      <c r="F326" s="9">
        <f t="shared" si="195"/>
        <v>2916.67</v>
      </c>
      <c r="G326" s="9">
        <f t="shared" si="195"/>
        <v>2916.67</v>
      </c>
      <c r="H326" s="9">
        <f t="shared" si="195"/>
        <v>2916.67</v>
      </c>
      <c r="I326" s="9">
        <f t="shared" si="195"/>
        <v>2916.67</v>
      </c>
      <c r="J326" s="9">
        <f t="shared" si="195"/>
        <v>2916.67</v>
      </c>
      <c r="K326" s="9">
        <f t="shared" si="195"/>
        <v>2916.67</v>
      </c>
      <c r="L326" s="9">
        <f t="shared" si="195"/>
        <v>2916.67</v>
      </c>
      <c r="M326" s="9">
        <f t="shared" si="195"/>
        <v>2916.67</v>
      </c>
      <c r="N326" s="9">
        <f t="shared" si="155"/>
        <v>34999.999999999993</v>
      </c>
    </row>
    <row r="327" spans="1:14" x14ac:dyDescent="0.25">
      <c r="A327" s="3" t="s">
        <v>334</v>
      </c>
      <c r="B327" s="9">
        <f>2080</f>
        <v>2080</v>
      </c>
      <c r="C327" s="9">
        <f>2080</f>
        <v>2080</v>
      </c>
      <c r="D327" s="9">
        <f>2080</f>
        <v>2080</v>
      </c>
      <c r="E327" s="9">
        <f>2080</f>
        <v>2080</v>
      </c>
      <c r="F327" s="9">
        <f>2080</f>
        <v>2080</v>
      </c>
      <c r="G327" s="9">
        <f>2080</f>
        <v>2080</v>
      </c>
      <c r="H327" s="9">
        <f>2080</f>
        <v>2080</v>
      </c>
      <c r="I327" s="9">
        <f>2080</f>
        <v>2080</v>
      </c>
      <c r="J327" s="9">
        <f>2080</f>
        <v>2080</v>
      </c>
      <c r="K327" s="9">
        <f>2080</f>
        <v>2080</v>
      </c>
      <c r="L327" s="9">
        <f>2080</f>
        <v>2080</v>
      </c>
      <c r="M327" s="9">
        <f>2080</f>
        <v>2080</v>
      </c>
      <c r="N327" s="9">
        <f t="shared" ref="N327:N390" si="196">(((((((((((B327)+(C327))+(D327))+(E327))+(F327))+(G327))+(H327))+(I327))+(J327))+(K327))+(L327))+(M327)</f>
        <v>24960</v>
      </c>
    </row>
    <row r="328" spans="1:14" x14ac:dyDescent="0.25">
      <c r="A328" s="3" t="s">
        <v>335</v>
      </c>
      <c r="B328" s="9">
        <f>16.63</f>
        <v>16.63</v>
      </c>
      <c r="C328" s="9">
        <f t="shared" ref="C328:M328" si="197">16.67</f>
        <v>16.670000000000002</v>
      </c>
      <c r="D328" s="9">
        <f t="shared" si="197"/>
        <v>16.670000000000002</v>
      </c>
      <c r="E328" s="9">
        <f t="shared" si="197"/>
        <v>16.670000000000002</v>
      </c>
      <c r="F328" s="9">
        <f t="shared" si="197"/>
        <v>16.670000000000002</v>
      </c>
      <c r="G328" s="9">
        <f t="shared" si="197"/>
        <v>16.670000000000002</v>
      </c>
      <c r="H328" s="9">
        <f t="shared" si="197"/>
        <v>16.670000000000002</v>
      </c>
      <c r="I328" s="9">
        <f t="shared" si="197"/>
        <v>16.670000000000002</v>
      </c>
      <c r="J328" s="9">
        <f t="shared" si="197"/>
        <v>16.670000000000002</v>
      </c>
      <c r="K328" s="9">
        <f t="shared" si="197"/>
        <v>16.670000000000002</v>
      </c>
      <c r="L328" s="9">
        <f t="shared" si="197"/>
        <v>16.670000000000002</v>
      </c>
      <c r="M328" s="9">
        <f t="shared" si="197"/>
        <v>16.670000000000002</v>
      </c>
      <c r="N328" s="9">
        <f t="shared" si="196"/>
        <v>200.00000000000006</v>
      </c>
    </row>
    <row r="329" spans="1:14" x14ac:dyDescent="0.25">
      <c r="A329" s="3" t="s">
        <v>336</v>
      </c>
      <c r="B329" s="9">
        <f>125</f>
        <v>125</v>
      </c>
      <c r="C329" s="9">
        <f>125</f>
        <v>125</v>
      </c>
      <c r="D329" s="9">
        <f>125</f>
        <v>125</v>
      </c>
      <c r="E329" s="9">
        <f>125</f>
        <v>125</v>
      </c>
      <c r="F329" s="9">
        <f>125</f>
        <v>125</v>
      </c>
      <c r="G329" s="9">
        <f>125</f>
        <v>125</v>
      </c>
      <c r="H329" s="9">
        <f>125</f>
        <v>125</v>
      </c>
      <c r="I329" s="9">
        <f>125</f>
        <v>125</v>
      </c>
      <c r="J329" s="9">
        <f>125</f>
        <v>125</v>
      </c>
      <c r="K329" s="9">
        <f>125</f>
        <v>125</v>
      </c>
      <c r="L329" s="9">
        <f>125</f>
        <v>125</v>
      </c>
      <c r="M329" s="9">
        <f>125</f>
        <v>125</v>
      </c>
      <c r="N329" s="9">
        <f t="shared" si="196"/>
        <v>1500</v>
      </c>
    </row>
    <row r="330" spans="1:14" x14ac:dyDescent="0.25">
      <c r="A330" s="3" t="s">
        <v>337</v>
      </c>
      <c r="B330" s="9">
        <f>50</f>
        <v>50</v>
      </c>
      <c r="C330" s="9">
        <f>50</f>
        <v>50</v>
      </c>
      <c r="D330" s="9">
        <f>50</f>
        <v>50</v>
      </c>
      <c r="E330" s="9">
        <f>50</f>
        <v>50</v>
      </c>
      <c r="F330" s="9">
        <f>50</f>
        <v>50</v>
      </c>
      <c r="G330" s="9">
        <f>50</f>
        <v>50</v>
      </c>
      <c r="H330" s="9">
        <f>50</f>
        <v>50</v>
      </c>
      <c r="I330" s="9">
        <f>50</f>
        <v>50</v>
      </c>
      <c r="J330" s="9">
        <f>50</f>
        <v>50</v>
      </c>
      <c r="K330" s="9">
        <f>50</f>
        <v>50</v>
      </c>
      <c r="L330" s="9">
        <f>50</f>
        <v>50</v>
      </c>
      <c r="M330" s="9">
        <f>50</f>
        <v>50</v>
      </c>
      <c r="N330" s="9">
        <f t="shared" si="196"/>
        <v>600</v>
      </c>
    </row>
    <row r="331" spans="1:14" x14ac:dyDescent="0.25">
      <c r="A331" s="3" t="s">
        <v>338</v>
      </c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9">
        <f t="shared" si="196"/>
        <v>0</v>
      </c>
    </row>
    <row r="332" spans="1:14" x14ac:dyDescent="0.25">
      <c r="A332" s="3" t="s">
        <v>339</v>
      </c>
      <c r="B332" s="9">
        <f>9936.94</f>
        <v>9936.94</v>
      </c>
      <c r="C332" s="9">
        <f t="shared" ref="C332:M332" si="198">9936.88</f>
        <v>9936.8799999999992</v>
      </c>
      <c r="D332" s="9">
        <f t="shared" si="198"/>
        <v>9936.8799999999992</v>
      </c>
      <c r="E332" s="9">
        <f t="shared" si="198"/>
        <v>9936.8799999999992</v>
      </c>
      <c r="F332" s="9">
        <f t="shared" si="198"/>
        <v>9936.8799999999992</v>
      </c>
      <c r="G332" s="9">
        <f t="shared" si="198"/>
        <v>9936.8799999999992</v>
      </c>
      <c r="H332" s="9">
        <f t="shared" si="198"/>
        <v>9936.8799999999992</v>
      </c>
      <c r="I332" s="9">
        <f t="shared" si="198"/>
        <v>9936.8799999999992</v>
      </c>
      <c r="J332" s="9">
        <f t="shared" si="198"/>
        <v>9936.8799999999992</v>
      </c>
      <c r="K332" s="9">
        <f t="shared" si="198"/>
        <v>9936.8799999999992</v>
      </c>
      <c r="L332" s="9">
        <f t="shared" si="198"/>
        <v>9936.8799999999992</v>
      </c>
      <c r="M332" s="9">
        <f t="shared" si="198"/>
        <v>9936.8799999999992</v>
      </c>
      <c r="N332" s="9">
        <f t="shared" si="196"/>
        <v>119242.62000000001</v>
      </c>
    </row>
    <row r="333" spans="1:14" x14ac:dyDescent="0.25">
      <c r="A333" s="3" t="s">
        <v>340</v>
      </c>
      <c r="B333" s="9">
        <f>1170</f>
        <v>1170</v>
      </c>
      <c r="C333" s="9">
        <f>1170</f>
        <v>1170</v>
      </c>
      <c r="D333" s="9">
        <f>1170</f>
        <v>1170</v>
      </c>
      <c r="E333" s="9">
        <f>1170</f>
        <v>1170</v>
      </c>
      <c r="F333" s="9">
        <f>1170</f>
        <v>1170</v>
      </c>
      <c r="G333" s="9">
        <f>1170</f>
        <v>1170</v>
      </c>
      <c r="H333" s="9">
        <f>1170</f>
        <v>1170</v>
      </c>
      <c r="I333" s="9">
        <f>1170</f>
        <v>1170</v>
      </c>
      <c r="J333" s="9">
        <f>1170</f>
        <v>1170</v>
      </c>
      <c r="K333" s="9">
        <f>1170</f>
        <v>1170</v>
      </c>
      <c r="L333" s="9">
        <f>1170</f>
        <v>1170</v>
      </c>
      <c r="M333" s="9">
        <f>1170</f>
        <v>1170</v>
      </c>
      <c r="N333" s="9">
        <f t="shared" si="196"/>
        <v>14040</v>
      </c>
    </row>
    <row r="334" spans="1:14" x14ac:dyDescent="0.25">
      <c r="A334" s="3" t="s">
        <v>341</v>
      </c>
      <c r="B334" s="9">
        <f>944.05</f>
        <v>944.05</v>
      </c>
      <c r="C334" s="9">
        <f>944</f>
        <v>944</v>
      </c>
      <c r="D334" s="9">
        <f>944</f>
        <v>944</v>
      </c>
      <c r="E334" s="9">
        <f>944</f>
        <v>944</v>
      </c>
      <c r="F334" s="9">
        <f>944</f>
        <v>944</v>
      </c>
      <c r="G334" s="9">
        <f>944</f>
        <v>944</v>
      </c>
      <c r="H334" s="9">
        <f>944</f>
        <v>944</v>
      </c>
      <c r="I334" s="9">
        <f>944</f>
        <v>944</v>
      </c>
      <c r="J334" s="9">
        <f>944</f>
        <v>944</v>
      </c>
      <c r="K334" s="9">
        <f>944</f>
        <v>944</v>
      </c>
      <c r="L334" s="9">
        <f>944</f>
        <v>944</v>
      </c>
      <c r="M334" s="9">
        <f>944</f>
        <v>944</v>
      </c>
      <c r="N334" s="9">
        <f t="shared" si="196"/>
        <v>11328.05</v>
      </c>
    </row>
    <row r="335" spans="1:14" x14ac:dyDescent="0.25">
      <c r="A335" s="3" t="s">
        <v>342</v>
      </c>
      <c r="B335" s="10">
        <f t="shared" ref="B335:M335" si="199">(((B331)+(B332))+(B333))+(B334)</f>
        <v>12050.99</v>
      </c>
      <c r="C335" s="10">
        <f t="shared" si="199"/>
        <v>12050.88</v>
      </c>
      <c r="D335" s="10">
        <f t="shared" si="199"/>
        <v>12050.88</v>
      </c>
      <c r="E335" s="10">
        <f t="shared" si="199"/>
        <v>12050.88</v>
      </c>
      <c r="F335" s="10">
        <f t="shared" si="199"/>
        <v>12050.88</v>
      </c>
      <c r="G335" s="10">
        <f t="shared" si="199"/>
        <v>12050.88</v>
      </c>
      <c r="H335" s="10">
        <f t="shared" si="199"/>
        <v>12050.88</v>
      </c>
      <c r="I335" s="10">
        <f t="shared" si="199"/>
        <v>12050.88</v>
      </c>
      <c r="J335" s="10">
        <f t="shared" si="199"/>
        <v>12050.88</v>
      </c>
      <c r="K335" s="10">
        <f t="shared" si="199"/>
        <v>12050.88</v>
      </c>
      <c r="L335" s="10">
        <f t="shared" si="199"/>
        <v>12050.88</v>
      </c>
      <c r="M335" s="10">
        <f t="shared" si="199"/>
        <v>12050.88</v>
      </c>
      <c r="N335" s="10">
        <f t="shared" si="196"/>
        <v>144610.67000000001</v>
      </c>
    </row>
    <row r="336" spans="1:14" x14ac:dyDescent="0.25">
      <c r="A336" s="3" t="s">
        <v>343</v>
      </c>
      <c r="B336" s="9">
        <f>29.13</f>
        <v>29.13</v>
      </c>
      <c r="C336" s="9">
        <f t="shared" ref="C336:M336" si="200">29.17</f>
        <v>29.17</v>
      </c>
      <c r="D336" s="9">
        <f t="shared" si="200"/>
        <v>29.17</v>
      </c>
      <c r="E336" s="9">
        <f t="shared" si="200"/>
        <v>29.17</v>
      </c>
      <c r="F336" s="9">
        <f t="shared" si="200"/>
        <v>29.17</v>
      </c>
      <c r="G336" s="9">
        <f t="shared" si="200"/>
        <v>29.17</v>
      </c>
      <c r="H336" s="9">
        <f t="shared" si="200"/>
        <v>29.17</v>
      </c>
      <c r="I336" s="9">
        <f t="shared" si="200"/>
        <v>29.17</v>
      </c>
      <c r="J336" s="9">
        <f t="shared" si="200"/>
        <v>29.17</v>
      </c>
      <c r="K336" s="9">
        <f t="shared" si="200"/>
        <v>29.17</v>
      </c>
      <c r="L336" s="9">
        <f t="shared" si="200"/>
        <v>29.17</v>
      </c>
      <c r="M336" s="9">
        <f t="shared" si="200"/>
        <v>29.17</v>
      </c>
      <c r="N336" s="9">
        <f t="shared" si="196"/>
        <v>350.00000000000011</v>
      </c>
    </row>
    <row r="337" spans="1:14" x14ac:dyDescent="0.25">
      <c r="A337" s="3" t="s">
        <v>344</v>
      </c>
      <c r="B337" s="9">
        <f t="shared" ref="B337:M337" si="201">6.25</f>
        <v>6.25</v>
      </c>
      <c r="C337" s="9">
        <f t="shared" si="201"/>
        <v>6.25</v>
      </c>
      <c r="D337" s="9">
        <f t="shared" si="201"/>
        <v>6.25</v>
      </c>
      <c r="E337" s="9">
        <f t="shared" si="201"/>
        <v>6.25</v>
      </c>
      <c r="F337" s="9">
        <f t="shared" si="201"/>
        <v>6.25</v>
      </c>
      <c r="G337" s="9">
        <f t="shared" si="201"/>
        <v>6.25</v>
      </c>
      <c r="H337" s="9">
        <f t="shared" si="201"/>
        <v>6.25</v>
      </c>
      <c r="I337" s="9">
        <f t="shared" si="201"/>
        <v>6.25</v>
      </c>
      <c r="J337" s="9">
        <f t="shared" si="201"/>
        <v>6.25</v>
      </c>
      <c r="K337" s="9">
        <f t="shared" si="201"/>
        <v>6.25</v>
      </c>
      <c r="L337" s="9">
        <f t="shared" si="201"/>
        <v>6.25</v>
      </c>
      <c r="M337" s="9">
        <f t="shared" si="201"/>
        <v>6.25</v>
      </c>
      <c r="N337" s="9">
        <f t="shared" si="196"/>
        <v>75</v>
      </c>
    </row>
    <row r="338" spans="1:14" x14ac:dyDescent="0.25">
      <c r="A338" s="3" t="s">
        <v>345</v>
      </c>
      <c r="B338" s="9">
        <f>4.13</f>
        <v>4.13</v>
      </c>
      <c r="C338" s="9">
        <f t="shared" ref="C338:M338" si="202">4.17</f>
        <v>4.17</v>
      </c>
      <c r="D338" s="9">
        <f t="shared" si="202"/>
        <v>4.17</v>
      </c>
      <c r="E338" s="9">
        <f t="shared" si="202"/>
        <v>4.17</v>
      </c>
      <c r="F338" s="9">
        <f t="shared" si="202"/>
        <v>4.17</v>
      </c>
      <c r="G338" s="9">
        <f t="shared" si="202"/>
        <v>4.17</v>
      </c>
      <c r="H338" s="9">
        <f t="shared" si="202"/>
        <v>4.17</v>
      </c>
      <c r="I338" s="9">
        <f t="shared" si="202"/>
        <v>4.17</v>
      </c>
      <c r="J338" s="9">
        <f t="shared" si="202"/>
        <v>4.17</v>
      </c>
      <c r="K338" s="9">
        <f t="shared" si="202"/>
        <v>4.17</v>
      </c>
      <c r="L338" s="9">
        <f t="shared" si="202"/>
        <v>4.17</v>
      </c>
      <c r="M338" s="9">
        <f t="shared" si="202"/>
        <v>4.17</v>
      </c>
      <c r="N338" s="9">
        <f t="shared" si="196"/>
        <v>50.000000000000014</v>
      </c>
    </row>
    <row r="339" spans="1:14" x14ac:dyDescent="0.25">
      <c r="A339" s="3" t="s">
        <v>346</v>
      </c>
      <c r="B339" s="10">
        <f t="shared" ref="B339:M339" si="203">(((((((((((B323)+(B324))+(B325))+(B326))+(B327))+(B328))+(B329))+(B330))+(B335))+(B336))+(B337))+(B338)</f>
        <v>22556.5</v>
      </c>
      <c r="C339" s="10">
        <f t="shared" si="203"/>
        <v>21942.769999999997</v>
      </c>
      <c r="D339" s="10">
        <f t="shared" si="203"/>
        <v>21699.349999999995</v>
      </c>
      <c r="E339" s="10">
        <f t="shared" si="203"/>
        <v>22266.569999999996</v>
      </c>
      <c r="F339" s="10">
        <f t="shared" si="203"/>
        <v>21713.389999999996</v>
      </c>
      <c r="G339" s="10">
        <f t="shared" si="203"/>
        <v>22962.279999999995</v>
      </c>
      <c r="H339" s="10">
        <f t="shared" si="203"/>
        <v>21821.67</v>
      </c>
      <c r="I339" s="10">
        <f t="shared" si="203"/>
        <v>21700.049999999996</v>
      </c>
      <c r="J339" s="10">
        <f t="shared" si="203"/>
        <v>22075.789999999997</v>
      </c>
      <c r="K339" s="10">
        <f t="shared" si="203"/>
        <v>22055.599999999995</v>
      </c>
      <c r="L339" s="10">
        <f t="shared" si="203"/>
        <v>21581.929999999997</v>
      </c>
      <c r="M339" s="10">
        <f t="shared" si="203"/>
        <v>21573.779999999995</v>
      </c>
      <c r="N339" s="10">
        <f t="shared" si="196"/>
        <v>263949.67999999993</v>
      </c>
    </row>
    <row r="340" spans="1:14" x14ac:dyDescent="0.25">
      <c r="A340" s="3" t="s">
        <v>347</v>
      </c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9">
        <f t="shared" si="196"/>
        <v>0</v>
      </c>
    </row>
    <row r="341" spans="1:14" x14ac:dyDescent="0.25">
      <c r="A341" s="3" t="s">
        <v>348</v>
      </c>
      <c r="B341" s="9">
        <f>6111.08</f>
        <v>6111.08</v>
      </c>
      <c r="C341" s="9">
        <f t="shared" ref="C341:M341" si="204">6111.12</f>
        <v>6111.12</v>
      </c>
      <c r="D341" s="9">
        <f t="shared" si="204"/>
        <v>6111.12</v>
      </c>
      <c r="E341" s="9">
        <f t="shared" si="204"/>
        <v>6111.12</v>
      </c>
      <c r="F341" s="9">
        <f t="shared" si="204"/>
        <v>6111.12</v>
      </c>
      <c r="G341" s="9">
        <f t="shared" si="204"/>
        <v>6111.12</v>
      </c>
      <c r="H341" s="9">
        <f t="shared" si="204"/>
        <v>6111.12</v>
      </c>
      <c r="I341" s="9">
        <f t="shared" si="204"/>
        <v>6111.12</v>
      </c>
      <c r="J341" s="9">
        <f t="shared" si="204"/>
        <v>6111.12</v>
      </c>
      <c r="K341" s="9">
        <f t="shared" si="204"/>
        <v>6111.12</v>
      </c>
      <c r="L341" s="9">
        <f t="shared" si="204"/>
        <v>6111.12</v>
      </c>
      <c r="M341" s="9">
        <f t="shared" si="204"/>
        <v>6111.12</v>
      </c>
      <c r="N341" s="9">
        <f t="shared" si="196"/>
        <v>73333.400000000009</v>
      </c>
    </row>
    <row r="342" spans="1:14" x14ac:dyDescent="0.25">
      <c r="A342" s="3" t="s">
        <v>349</v>
      </c>
      <c r="B342" s="9">
        <f>13676.99</f>
        <v>13676.99</v>
      </c>
      <c r="C342" s="9">
        <f>9836.07</f>
        <v>9836.07</v>
      </c>
      <c r="D342" s="9">
        <f>8312.88</f>
        <v>8312.8799999999992</v>
      </c>
      <c r="E342" s="9">
        <f>11862.27</f>
        <v>11862.27</v>
      </c>
      <c r="F342" s="9">
        <f>8400.73</f>
        <v>8400.73</v>
      </c>
      <c r="G342" s="9">
        <f>16215.78</f>
        <v>16215.78</v>
      </c>
      <c r="H342" s="9">
        <f>9078.27</f>
        <v>9078.27</v>
      </c>
      <c r="I342" s="9">
        <f>8317.24</f>
        <v>8317.24</v>
      </c>
      <c r="J342" s="9">
        <f>10668.5</f>
        <v>10668.5</v>
      </c>
      <c r="K342" s="9">
        <f>10542.12</f>
        <v>10542.12</v>
      </c>
      <c r="L342" s="9">
        <f>7578.12</f>
        <v>7578.12</v>
      </c>
      <c r="M342" s="9">
        <f>7527.12</f>
        <v>7527.12</v>
      </c>
      <c r="N342" s="9">
        <f t="shared" si="196"/>
        <v>122016.08999999998</v>
      </c>
    </row>
    <row r="343" spans="1:14" x14ac:dyDescent="0.25">
      <c r="A343" s="3" t="s">
        <v>350</v>
      </c>
      <c r="B343" s="9">
        <f>625</f>
        <v>625</v>
      </c>
      <c r="C343" s="9">
        <f>625</f>
        <v>625</v>
      </c>
      <c r="D343" s="9">
        <f>625</f>
        <v>625</v>
      </c>
      <c r="E343" s="9">
        <f>625</f>
        <v>625</v>
      </c>
      <c r="F343" s="9">
        <f>625</f>
        <v>625</v>
      </c>
      <c r="G343" s="9">
        <f>625</f>
        <v>625</v>
      </c>
      <c r="H343" s="9">
        <f>625</f>
        <v>625</v>
      </c>
      <c r="I343" s="9">
        <f>625</f>
        <v>625</v>
      </c>
      <c r="J343" s="9">
        <f>625</f>
        <v>625</v>
      </c>
      <c r="K343" s="9">
        <f>625</f>
        <v>625</v>
      </c>
      <c r="L343" s="9">
        <f>625</f>
        <v>625</v>
      </c>
      <c r="M343" s="9">
        <f>625</f>
        <v>625</v>
      </c>
      <c r="N343" s="9">
        <f t="shared" si="196"/>
        <v>7500</v>
      </c>
    </row>
    <row r="344" spans="1:14" x14ac:dyDescent="0.25">
      <c r="A344" s="3" t="s">
        <v>351</v>
      </c>
      <c r="B344" s="9">
        <f>7083.37</f>
        <v>7083.37</v>
      </c>
      <c r="C344" s="9">
        <f t="shared" ref="C344:M344" si="205">7083.33</f>
        <v>7083.33</v>
      </c>
      <c r="D344" s="9">
        <f t="shared" si="205"/>
        <v>7083.33</v>
      </c>
      <c r="E344" s="9">
        <f t="shared" si="205"/>
        <v>7083.33</v>
      </c>
      <c r="F344" s="9">
        <f t="shared" si="205"/>
        <v>7083.33</v>
      </c>
      <c r="G344" s="9">
        <f t="shared" si="205"/>
        <v>7083.33</v>
      </c>
      <c r="H344" s="9">
        <f t="shared" si="205"/>
        <v>7083.33</v>
      </c>
      <c r="I344" s="9">
        <f t="shared" si="205"/>
        <v>7083.33</v>
      </c>
      <c r="J344" s="9">
        <f t="shared" si="205"/>
        <v>7083.33</v>
      </c>
      <c r="K344" s="9">
        <f t="shared" si="205"/>
        <v>7083.33</v>
      </c>
      <c r="L344" s="9">
        <f t="shared" si="205"/>
        <v>7083.33</v>
      </c>
      <c r="M344" s="9">
        <f t="shared" si="205"/>
        <v>7083.33</v>
      </c>
      <c r="N344" s="9">
        <f t="shared" si="196"/>
        <v>85000.000000000015</v>
      </c>
    </row>
    <row r="345" spans="1:14" x14ac:dyDescent="0.25">
      <c r="A345" s="3" t="s">
        <v>352</v>
      </c>
      <c r="B345" s="9">
        <f>125</f>
        <v>125</v>
      </c>
      <c r="C345" s="9">
        <f>125</f>
        <v>125</v>
      </c>
      <c r="D345" s="9">
        <f>125</f>
        <v>125</v>
      </c>
      <c r="E345" s="9">
        <f>125</f>
        <v>125</v>
      </c>
      <c r="F345" s="9">
        <f>125</f>
        <v>125</v>
      </c>
      <c r="G345" s="9">
        <f>125</f>
        <v>125</v>
      </c>
      <c r="H345" s="9">
        <f>125</f>
        <v>125</v>
      </c>
      <c r="I345" s="9">
        <f>125</f>
        <v>125</v>
      </c>
      <c r="J345" s="9">
        <f>125</f>
        <v>125</v>
      </c>
      <c r="K345" s="9">
        <f>125</f>
        <v>125</v>
      </c>
      <c r="L345" s="9">
        <f>125</f>
        <v>125</v>
      </c>
      <c r="M345" s="9">
        <f>125</f>
        <v>125</v>
      </c>
      <c r="N345" s="9">
        <f t="shared" si="196"/>
        <v>1500</v>
      </c>
    </row>
    <row r="346" spans="1:14" x14ac:dyDescent="0.25">
      <c r="A346" s="3" t="s">
        <v>353</v>
      </c>
      <c r="B346" s="9">
        <f>1333.37</f>
        <v>1333.37</v>
      </c>
      <c r="C346" s="9">
        <f t="shared" ref="C346:M347" si="206">1333.33</f>
        <v>1333.33</v>
      </c>
      <c r="D346" s="9">
        <f t="shared" si="206"/>
        <v>1333.33</v>
      </c>
      <c r="E346" s="9">
        <f t="shared" si="206"/>
        <v>1333.33</v>
      </c>
      <c r="F346" s="9">
        <f t="shared" si="206"/>
        <v>1333.33</v>
      </c>
      <c r="G346" s="9">
        <f t="shared" si="206"/>
        <v>1333.33</v>
      </c>
      <c r="H346" s="9">
        <f t="shared" si="206"/>
        <v>1333.33</v>
      </c>
      <c r="I346" s="9">
        <f t="shared" si="206"/>
        <v>1333.33</v>
      </c>
      <c r="J346" s="9">
        <f t="shared" si="206"/>
        <v>1333.33</v>
      </c>
      <c r="K346" s="9">
        <f t="shared" si="206"/>
        <v>1333.33</v>
      </c>
      <c r="L346" s="9">
        <f t="shared" si="206"/>
        <v>1333.33</v>
      </c>
      <c r="M346" s="9">
        <f t="shared" si="206"/>
        <v>1333.33</v>
      </c>
      <c r="N346" s="9">
        <f t="shared" si="196"/>
        <v>15999.999999999998</v>
      </c>
    </row>
    <row r="347" spans="1:14" x14ac:dyDescent="0.25">
      <c r="A347" s="3" t="s">
        <v>354</v>
      </c>
      <c r="B347" s="9">
        <f>1333.37</f>
        <v>1333.37</v>
      </c>
      <c r="C347" s="9">
        <f t="shared" si="206"/>
        <v>1333.33</v>
      </c>
      <c r="D347" s="9">
        <f t="shared" si="206"/>
        <v>1333.33</v>
      </c>
      <c r="E347" s="9">
        <f t="shared" si="206"/>
        <v>1333.33</v>
      </c>
      <c r="F347" s="9">
        <f t="shared" si="206"/>
        <v>1333.33</v>
      </c>
      <c r="G347" s="9">
        <f t="shared" si="206"/>
        <v>1333.33</v>
      </c>
      <c r="H347" s="9">
        <f t="shared" si="206"/>
        <v>1333.33</v>
      </c>
      <c r="I347" s="9">
        <f t="shared" si="206"/>
        <v>1333.33</v>
      </c>
      <c r="J347" s="9">
        <f t="shared" si="206"/>
        <v>1333.33</v>
      </c>
      <c r="K347" s="9">
        <f t="shared" si="206"/>
        <v>1333.33</v>
      </c>
      <c r="L347" s="9">
        <f t="shared" si="206"/>
        <v>1333.33</v>
      </c>
      <c r="M347" s="9">
        <f t="shared" si="206"/>
        <v>1333.33</v>
      </c>
      <c r="N347" s="9">
        <f t="shared" si="196"/>
        <v>15999.999999999998</v>
      </c>
    </row>
    <row r="348" spans="1:14" x14ac:dyDescent="0.25">
      <c r="A348" s="3" t="s">
        <v>355</v>
      </c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9">
        <f t="shared" si="196"/>
        <v>0</v>
      </c>
    </row>
    <row r="349" spans="1:14" x14ac:dyDescent="0.25">
      <c r="A349" s="3" t="s">
        <v>356</v>
      </c>
      <c r="B349" s="9">
        <f t="shared" ref="B349:L349" si="207">78740.35</f>
        <v>78740.350000000006</v>
      </c>
      <c r="C349" s="9">
        <f t="shared" si="207"/>
        <v>78740.350000000006</v>
      </c>
      <c r="D349" s="9">
        <f t="shared" si="207"/>
        <v>78740.350000000006</v>
      </c>
      <c r="E349" s="9">
        <f t="shared" si="207"/>
        <v>78740.350000000006</v>
      </c>
      <c r="F349" s="9">
        <f t="shared" si="207"/>
        <v>78740.350000000006</v>
      </c>
      <c r="G349" s="9">
        <f t="shared" si="207"/>
        <v>78740.350000000006</v>
      </c>
      <c r="H349" s="9">
        <f t="shared" si="207"/>
        <v>78740.350000000006</v>
      </c>
      <c r="I349" s="9">
        <f t="shared" si="207"/>
        <v>78740.350000000006</v>
      </c>
      <c r="J349" s="9">
        <f t="shared" si="207"/>
        <v>78740.350000000006</v>
      </c>
      <c r="K349" s="9">
        <f t="shared" si="207"/>
        <v>78740.350000000006</v>
      </c>
      <c r="L349" s="9">
        <f t="shared" si="207"/>
        <v>78740.350000000006</v>
      </c>
      <c r="M349" s="9">
        <f>78740.3</f>
        <v>78740.3</v>
      </c>
      <c r="N349" s="9">
        <f t="shared" si="196"/>
        <v>944884.14999999991</v>
      </c>
    </row>
    <row r="350" spans="1:14" x14ac:dyDescent="0.25">
      <c r="A350" s="3" t="s">
        <v>357</v>
      </c>
      <c r="B350" s="9">
        <f>5166.63</f>
        <v>5166.63</v>
      </c>
      <c r="C350" s="9">
        <f t="shared" ref="C350:M350" si="208">5166.67</f>
        <v>5166.67</v>
      </c>
      <c r="D350" s="9">
        <f t="shared" si="208"/>
        <v>5166.67</v>
      </c>
      <c r="E350" s="9">
        <f t="shared" si="208"/>
        <v>5166.67</v>
      </c>
      <c r="F350" s="9">
        <f t="shared" si="208"/>
        <v>5166.67</v>
      </c>
      <c r="G350" s="9">
        <f t="shared" si="208"/>
        <v>5166.67</v>
      </c>
      <c r="H350" s="9">
        <f t="shared" si="208"/>
        <v>5166.67</v>
      </c>
      <c r="I350" s="9">
        <f t="shared" si="208"/>
        <v>5166.67</v>
      </c>
      <c r="J350" s="9">
        <f t="shared" si="208"/>
        <v>5166.67</v>
      </c>
      <c r="K350" s="9">
        <f t="shared" si="208"/>
        <v>5166.67</v>
      </c>
      <c r="L350" s="9">
        <f t="shared" si="208"/>
        <v>5166.67</v>
      </c>
      <c r="M350" s="9">
        <f t="shared" si="208"/>
        <v>5166.67</v>
      </c>
      <c r="N350" s="9">
        <f t="shared" si="196"/>
        <v>61999.999999999985</v>
      </c>
    </row>
    <row r="351" spans="1:14" x14ac:dyDescent="0.25">
      <c r="A351" s="3" t="s">
        <v>358</v>
      </c>
      <c r="B351" s="9">
        <f>7480.36</f>
        <v>7480.36</v>
      </c>
      <c r="C351" s="9">
        <f t="shared" ref="C351:M351" si="209">7480.33</f>
        <v>7480.33</v>
      </c>
      <c r="D351" s="9">
        <f t="shared" si="209"/>
        <v>7480.33</v>
      </c>
      <c r="E351" s="9">
        <f t="shared" si="209"/>
        <v>7480.33</v>
      </c>
      <c r="F351" s="9">
        <f t="shared" si="209"/>
        <v>7480.33</v>
      </c>
      <c r="G351" s="9">
        <f t="shared" si="209"/>
        <v>7480.33</v>
      </c>
      <c r="H351" s="9">
        <f t="shared" si="209"/>
        <v>7480.33</v>
      </c>
      <c r="I351" s="9">
        <f t="shared" si="209"/>
        <v>7480.33</v>
      </c>
      <c r="J351" s="9">
        <f t="shared" si="209"/>
        <v>7480.33</v>
      </c>
      <c r="K351" s="9">
        <f t="shared" si="209"/>
        <v>7480.33</v>
      </c>
      <c r="L351" s="9">
        <f t="shared" si="209"/>
        <v>7480.33</v>
      </c>
      <c r="M351" s="9">
        <f t="shared" si="209"/>
        <v>7480.33</v>
      </c>
      <c r="N351" s="9">
        <f t="shared" si="196"/>
        <v>89763.99</v>
      </c>
    </row>
    <row r="352" spans="1:14" x14ac:dyDescent="0.25">
      <c r="A352" s="3" t="s">
        <v>359</v>
      </c>
      <c r="B352" s="9">
        <f>41.63</f>
        <v>41.63</v>
      </c>
      <c r="C352" s="9">
        <f t="shared" ref="C352:M352" si="210">41.67</f>
        <v>41.67</v>
      </c>
      <c r="D352" s="9">
        <f t="shared" si="210"/>
        <v>41.67</v>
      </c>
      <c r="E352" s="9">
        <f t="shared" si="210"/>
        <v>41.67</v>
      </c>
      <c r="F352" s="9">
        <f t="shared" si="210"/>
        <v>41.67</v>
      </c>
      <c r="G352" s="9">
        <f t="shared" si="210"/>
        <v>41.67</v>
      </c>
      <c r="H352" s="9">
        <f t="shared" si="210"/>
        <v>41.67</v>
      </c>
      <c r="I352" s="9">
        <f t="shared" si="210"/>
        <v>41.67</v>
      </c>
      <c r="J352" s="9">
        <f t="shared" si="210"/>
        <v>41.67</v>
      </c>
      <c r="K352" s="9">
        <f t="shared" si="210"/>
        <v>41.67</v>
      </c>
      <c r="L352" s="9">
        <f t="shared" si="210"/>
        <v>41.67</v>
      </c>
      <c r="M352" s="9">
        <f t="shared" si="210"/>
        <v>41.67</v>
      </c>
      <c r="N352" s="9">
        <f t="shared" si="196"/>
        <v>500.00000000000011</v>
      </c>
    </row>
    <row r="353" spans="1:14" x14ac:dyDescent="0.25">
      <c r="A353" s="3" t="s">
        <v>360</v>
      </c>
      <c r="B353" s="10">
        <f t="shared" ref="B353:M353" si="211">((((B348)+(B349))+(B350))+(B351))+(B352)</f>
        <v>91428.970000000016</v>
      </c>
      <c r="C353" s="10">
        <f t="shared" si="211"/>
        <v>91429.02</v>
      </c>
      <c r="D353" s="10">
        <f t="shared" si="211"/>
        <v>91429.02</v>
      </c>
      <c r="E353" s="10">
        <f t="shared" si="211"/>
        <v>91429.02</v>
      </c>
      <c r="F353" s="10">
        <f t="shared" si="211"/>
        <v>91429.02</v>
      </c>
      <c r="G353" s="10">
        <f t="shared" si="211"/>
        <v>91429.02</v>
      </c>
      <c r="H353" s="10">
        <f t="shared" si="211"/>
        <v>91429.02</v>
      </c>
      <c r="I353" s="10">
        <f t="shared" si="211"/>
        <v>91429.02</v>
      </c>
      <c r="J353" s="10">
        <f t="shared" si="211"/>
        <v>91429.02</v>
      </c>
      <c r="K353" s="10">
        <f t="shared" si="211"/>
        <v>91429.02</v>
      </c>
      <c r="L353" s="10">
        <f t="shared" si="211"/>
        <v>91429.02</v>
      </c>
      <c r="M353" s="10">
        <f t="shared" si="211"/>
        <v>91428.97</v>
      </c>
      <c r="N353" s="10">
        <f t="shared" si="196"/>
        <v>1097148.1400000001</v>
      </c>
    </row>
    <row r="354" spans="1:14" x14ac:dyDescent="0.25">
      <c r="A354" s="3" t="s">
        <v>361</v>
      </c>
      <c r="B354" s="9">
        <f>83.37</f>
        <v>83.37</v>
      </c>
      <c r="C354" s="9">
        <f t="shared" ref="C354:M354" si="212">83.33</f>
        <v>83.33</v>
      </c>
      <c r="D354" s="9">
        <f t="shared" si="212"/>
        <v>83.33</v>
      </c>
      <c r="E354" s="9">
        <f t="shared" si="212"/>
        <v>83.33</v>
      </c>
      <c r="F354" s="9">
        <f t="shared" si="212"/>
        <v>83.33</v>
      </c>
      <c r="G354" s="9">
        <f t="shared" si="212"/>
        <v>83.33</v>
      </c>
      <c r="H354" s="9">
        <f t="shared" si="212"/>
        <v>83.33</v>
      </c>
      <c r="I354" s="9">
        <f t="shared" si="212"/>
        <v>83.33</v>
      </c>
      <c r="J354" s="9">
        <f t="shared" si="212"/>
        <v>83.33</v>
      </c>
      <c r="K354" s="9">
        <f t="shared" si="212"/>
        <v>83.33</v>
      </c>
      <c r="L354" s="9">
        <f t="shared" si="212"/>
        <v>83.33</v>
      </c>
      <c r="M354" s="9">
        <f t="shared" si="212"/>
        <v>83.33</v>
      </c>
      <c r="N354" s="9">
        <f t="shared" si="196"/>
        <v>1000.0000000000001</v>
      </c>
    </row>
    <row r="355" spans="1:14" x14ac:dyDescent="0.25">
      <c r="A355" s="3" t="s">
        <v>362</v>
      </c>
      <c r="B355" s="9">
        <f t="shared" ref="B355:M355" si="213">43.75</f>
        <v>43.75</v>
      </c>
      <c r="C355" s="9">
        <f t="shared" si="213"/>
        <v>43.75</v>
      </c>
      <c r="D355" s="9">
        <f t="shared" si="213"/>
        <v>43.75</v>
      </c>
      <c r="E355" s="9">
        <f t="shared" si="213"/>
        <v>43.75</v>
      </c>
      <c r="F355" s="9">
        <f t="shared" si="213"/>
        <v>43.75</v>
      </c>
      <c r="G355" s="9">
        <f t="shared" si="213"/>
        <v>43.75</v>
      </c>
      <c r="H355" s="9">
        <f t="shared" si="213"/>
        <v>43.75</v>
      </c>
      <c r="I355" s="9">
        <f t="shared" si="213"/>
        <v>43.75</v>
      </c>
      <c r="J355" s="9">
        <f t="shared" si="213"/>
        <v>43.75</v>
      </c>
      <c r="K355" s="9">
        <f t="shared" si="213"/>
        <v>43.75</v>
      </c>
      <c r="L355" s="9">
        <f t="shared" si="213"/>
        <v>43.75</v>
      </c>
      <c r="M355" s="9">
        <f t="shared" si="213"/>
        <v>43.75</v>
      </c>
      <c r="N355" s="9">
        <f t="shared" si="196"/>
        <v>525</v>
      </c>
    </row>
    <row r="356" spans="1:14" x14ac:dyDescent="0.25">
      <c r="A356" s="3" t="s">
        <v>363</v>
      </c>
      <c r="B356" s="9">
        <f>16.63</f>
        <v>16.63</v>
      </c>
      <c r="C356" s="9">
        <f t="shared" ref="C356:M356" si="214">16.67</f>
        <v>16.670000000000002</v>
      </c>
      <c r="D356" s="9">
        <f t="shared" si="214"/>
        <v>16.670000000000002</v>
      </c>
      <c r="E356" s="9">
        <f t="shared" si="214"/>
        <v>16.670000000000002</v>
      </c>
      <c r="F356" s="9">
        <f t="shared" si="214"/>
        <v>16.670000000000002</v>
      </c>
      <c r="G356" s="9">
        <f t="shared" si="214"/>
        <v>16.670000000000002</v>
      </c>
      <c r="H356" s="9">
        <f t="shared" si="214"/>
        <v>16.670000000000002</v>
      </c>
      <c r="I356" s="9">
        <f t="shared" si="214"/>
        <v>16.670000000000002</v>
      </c>
      <c r="J356" s="9">
        <f t="shared" si="214"/>
        <v>16.670000000000002</v>
      </c>
      <c r="K356" s="9">
        <f t="shared" si="214"/>
        <v>16.670000000000002</v>
      </c>
      <c r="L356" s="9">
        <f t="shared" si="214"/>
        <v>16.670000000000002</v>
      </c>
      <c r="M356" s="9">
        <f t="shared" si="214"/>
        <v>16.670000000000002</v>
      </c>
      <c r="N356" s="9">
        <f t="shared" si="196"/>
        <v>200.00000000000006</v>
      </c>
    </row>
    <row r="357" spans="1:14" x14ac:dyDescent="0.25">
      <c r="A357" s="3" t="s">
        <v>364</v>
      </c>
      <c r="B357" s="9">
        <f>41.63</f>
        <v>41.63</v>
      </c>
      <c r="C357" s="9">
        <f t="shared" ref="C357:M357" si="215">41.67</f>
        <v>41.67</v>
      </c>
      <c r="D357" s="9">
        <f t="shared" si="215"/>
        <v>41.67</v>
      </c>
      <c r="E357" s="9">
        <f t="shared" si="215"/>
        <v>41.67</v>
      </c>
      <c r="F357" s="9">
        <f t="shared" si="215"/>
        <v>41.67</v>
      </c>
      <c r="G357" s="9">
        <f t="shared" si="215"/>
        <v>41.67</v>
      </c>
      <c r="H357" s="9">
        <f t="shared" si="215"/>
        <v>41.67</v>
      </c>
      <c r="I357" s="9">
        <f t="shared" si="215"/>
        <v>41.67</v>
      </c>
      <c r="J357" s="9">
        <f t="shared" si="215"/>
        <v>41.67</v>
      </c>
      <c r="K357" s="9">
        <f t="shared" si="215"/>
        <v>41.67</v>
      </c>
      <c r="L357" s="9">
        <f t="shared" si="215"/>
        <v>41.67</v>
      </c>
      <c r="M357" s="9">
        <f t="shared" si="215"/>
        <v>41.67</v>
      </c>
      <c r="N357" s="9">
        <f t="shared" si="196"/>
        <v>500.00000000000011</v>
      </c>
    </row>
    <row r="358" spans="1:14" x14ac:dyDescent="0.25">
      <c r="A358" s="3" t="s">
        <v>365</v>
      </c>
      <c r="B358" s="9">
        <f>116.63</f>
        <v>116.63</v>
      </c>
      <c r="C358" s="9">
        <f t="shared" ref="C358:M358" si="216">116.67</f>
        <v>116.67</v>
      </c>
      <c r="D358" s="9">
        <f t="shared" si="216"/>
        <v>116.67</v>
      </c>
      <c r="E358" s="9">
        <f t="shared" si="216"/>
        <v>116.67</v>
      </c>
      <c r="F358" s="9">
        <f t="shared" si="216"/>
        <v>116.67</v>
      </c>
      <c r="G358" s="9">
        <f t="shared" si="216"/>
        <v>116.67</v>
      </c>
      <c r="H358" s="9">
        <f t="shared" si="216"/>
        <v>116.67</v>
      </c>
      <c r="I358" s="9">
        <f t="shared" si="216"/>
        <v>116.67</v>
      </c>
      <c r="J358" s="9">
        <f t="shared" si="216"/>
        <v>116.67</v>
      </c>
      <c r="K358" s="9">
        <f t="shared" si="216"/>
        <v>116.67</v>
      </c>
      <c r="L358" s="9">
        <f t="shared" si="216"/>
        <v>116.67</v>
      </c>
      <c r="M358" s="9">
        <f t="shared" si="216"/>
        <v>116.67</v>
      </c>
      <c r="N358" s="9">
        <f t="shared" si="196"/>
        <v>1400.0000000000002</v>
      </c>
    </row>
    <row r="359" spans="1:14" x14ac:dyDescent="0.25">
      <c r="A359" s="3" t="s">
        <v>366</v>
      </c>
      <c r="B359" s="9">
        <f t="shared" ref="B359:M359" si="217">12.5</f>
        <v>12.5</v>
      </c>
      <c r="C359" s="9">
        <f t="shared" si="217"/>
        <v>12.5</v>
      </c>
      <c r="D359" s="9">
        <f t="shared" si="217"/>
        <v>12.5</v>
      </c>
      <c r="E359" s="9">
        <f t="shared" si="217"/>
        <v>12.5</v>
      </c>
      <c r="F359" s="9">
        <f t="shared" si="217"/>
        <v>12.5</v>
      </c>
      <c r="G359" s="9">
        <f t="shared" si="217"/>
        <v>12.5</v>
      </c>
      <c r="H359" s="9">
        <f t="shared" si="217"/>
        <v>12.5</v>
      </c>
      <c r="I359" s="9">
        <f t="shared" si="217"/>
        <v>12.5</v>
      </c>
      <c r="J359" s="9">
        <f t="shared" si="217"/>
        <v>12.5</v>
      </c>
      <c r="K359" s="9">
        <f t="shared" si="217"/>
        <v>12.5</v>
      </c>
      <c r="L359" s="9">
        <f t="shared" si="217"/>
        <v>12.5</v>
      </c>
      <c r="M359" s="9">
        <f t="shared" si="217"/>
        <v>12.5</v>
      </c>
      <c r="N359" s="9">
        <f t="shared" si="196"/>
        <v>150</v>
      </c>
    </row>
    <row r="360" spans="1:14" x14ac:dyDescent="0.25">
      <c r="A360" s="3" t="s">
        <v>367</v>
      </c>
      <c r="B360" s="10">
        <f t="shared" ref="B360:M360" si="218">((((((((((((((B340)+(B341))+(B342))+(B343))+(B344))+(B345))+(B346))+(B347))+(B353))+(B354))+(B355))+(B356))+(B357))+(B358))+(B359)</f>
        <v>122031.66000000002</v>
      </c>
      <c r="C360" s="10">
        <f t="shared" si="218"/>
        <v>118190.79000000001</v>
      </c>
      <c r="D360" s="10">
        <f t="shared" si="218"/>
        <v>116667.6</v>
      </c>
      <c r="E360" s="10">
        <f t="shared" si="218"/>
        <v>120216.99</v>
      </c>
      <c r="F360" s="10">
        <f t="shared" si="218"/>
        <v>116755.45000000001</v>
      </c>
      <c r="G360" s="10">
        <f t="shared" si="218"/>
        <v>124570.5</v>
      </c>
      <c r="H360" s="10">
        <f t="shared" si="218"/>
        <v>117432.99</v>
      </c>
      <c r="I360" s="10">
        <f t="shared" si="218"/>
        <v>116671.96</v>
      </c>
      <c r="J360" s="10">
        <f t="shared" si="218"/>
        <v>119023.22</v>
      </c>
      <c r="K360" s="10">
        <f t="shared" si="218"/>
        <v>118896.84</v>
      </c>
      <c r="L360" s="10">
        <f t="shared" si="218"/>
        <v>115932.84</v>
      </c>
      <c r="M360" s="10">
        <f t="shared" si="218"/>
        <v>115881.79000000001</v>
      </c>
      <c r="N360" s="10">
        <f t="shared" si="196"/>
        <v>1422272.6300000001</v>
      </c>
    </row>
    <row r="361" spans="1:14" x14ac:dyDescent="0.25">
      <c r="A361" s="3" t="s">
        <v>368</v>
      </c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9">
        <f t="shared" si="196"/>
        <v>0</v>
      </c>
    </row>
    <row r="362" spans="1:14" x14ac:dyDescent="0.25">
      <c r="A362" s="3" t="s">
        <v>369</v>
      </c>
      <c r="B362" s="9">
        <f t="shared" ref="B362:L362" si="219">2608.79</f>
        <v>2608.79</v>
      </c>
      <c r="C362" s="9">
        <f t="shared" si="219"/>
        <v>2608.79</v>
      </c>
      <c r="D362" s="9">
        <f t="shared" si="219"/>
        <v>2608.79</v>
      </c>
      <c r="E362" s="9">
        <f t="shared" si="219"/>
        <v>2608.79</v>
      </c>
      <c r="F362" s="9">
        <f t="shared" si="219"/>
        <v>2608.79</v>
      </c>
      <c r="G362" s="9">
        <f t="shared" si="219"/>
        <v>2608.79</v>
      </c>
      <c r="H362" s="9">
        <f t="shared" si="219"/>
        <v>2608.79</v>
      </c>
      <c r="I362" s="9">
        <f t="shared" si="219"/>
        <v>2608.79</v>
      </c>
      <c r="J362" s="9">
        <f t="shared" si="219"/>
        <v>2608.79</v>
      </c>
      <c r="K362" s="9">
        <f t="shared" si="219"/>
        <v>2608.79</v>
      </c>
      <c r="L362" s="9">
        <f t="shared" si="219"/>
        <v>2608.79</v>
      </c>
      <c r="M362" s="9">
        <f>2608.84</f>
        <v>2608.84</v>
      </c>
      <c r="N362" s="9">
        <f t="shared" si="196"/>
        <v>31305.530000000006</v>
      </c>
    </row>
    <row r="363" spans="1:14" x14ac:dyDescent="0.25">
      <c r="A363" s="3" t="s">
        <v>370</v>
      </c>
      <c r="B363" s="9">
        <f>2141.51</f>
        <v>2141.5100000000002</v>
      </c>
      <c r="C363" s="9">
        <f>1540.11</f>
        <v>1540.11</v>
      </c>
      <c r="D363" s="9">
        <f>1301.61</f>
        <v>1301.6099999999999</v>
      </c>
      <c r="E363" s="9">
        <f>1857.37</f>
        <v>1857.37</v>
      </c>
      <c r="F363" s="9">
        <f>1315.37</f>
        <v>1315.37</v>
      </c>
      <c r="G363" s="9">
        <f>2539.03</f>
        <v>2539.0300000000002</v>
      </c>
      <c r="H363" s="9">
        <f>1421.46</f>
        <v>1421.46</v>
      </c>
      <c r="I363" s="9">
        <f>1302.3</f>
        <v>1302.3</v>
      </c>
      <c r="J363" s="9">
        <f>1670.45</f>
        <v>1670.45</v>
      </c>
      <c r="K363" s="9">
        <f>1650.66</f>
        <v>1650.66</v>
      </c>
      <c r="L363" s="9">
        <f>1186.57</f>
        <v>1186.57</v>
      </c>
      <c r="M363" s="9">
        <f>1178.58</f>
        <v>1178.58</v>
      </c>
      <c r="N363" s="9">
        <f t="shared" si="196"/>
        <v>19105.019999999997</v>
      </c>
    </row>
    <row r="364" spans="1:14" x14ac:dyDescent="0.25">
      <c r="A364" s="3" t="s">
        <v>371</v>
      </c>
      <c r="B364" s="9">
        <f>1250</f>
        <v>1250</v>
      </c>
      <c r="C364" s="9">
        <f>1250</f>
        <v>1250</v>
      </c>
      <c r="D364" s="9">
        <f>1250</f>
        <v>1250</v>
      </c>
      <c r="E364" s="9">
        <f>1250</f>
        <v>1250</v>
      </c>
      <c r="F364" s="9">
        <f>1250</f>
        <v>1250</v>
      </c>
      <c r="G364" s="9">
        <f>1250</f>
        <v>1250</v>
      </c>
      <c r="H364" s="9">
        <f>1250</f>
        <v>1250</v>
      </c>
      <c r="I364" s="9">
        <f>1250</f>
        <v>1250</v>
      </c>
      <c r="J364" s="9">
        <f>1250</f>
        <v>1250</v>
      </c>
      <c r="K364" s="9">
        <f>1250</f>
        <v>1250</v>
      </c>
      <c r="L364" s="9">
        <f>1250</f>
        <v>1250</v>
      </c>
      <c r="M364" s="9">
        <f>1250</f>
        <v>1250</v>
      </c>
      <c r="N364" s="9">
        <f t="shared" si="196"/>
        <v>15000</v>
      </c>
    </row>
    <row r="365" spans="1:14" x14ac:dyDescent="0.25">
      <c r="A365" s="3" t="s">
        <v>372</v>
      </c>
      <c r="B365" s="9">
        <f>2080</f>
        <v>2080</v>
      </c>
      <c r="C365" s="9">
        <f>2080</f>
        <v>2080</v>
      </c>
      <c r="D365" s="9">
        <f>2080</f>
        <v>2080</v>
      </c>
      <c r="E365" s="9">
        <f>2080</f>
        <v>2080</v>
      </c>
      <c r="F365" s="9">
        <f>2080</f>
        <v>2080</v>
      </c>
      <c r="G365" s="9">
        <f>2080</f>
        <v>2080</v>
      </c>
      <c r="H365" s="9">
        <f>2080</f>
        <v>2080</v>
      </c>
      <c r="I365" s="9">
        <f>2080</f>
        <v>2080</v>
      </c>
      <c r="J365" s="9">
        <f>2080</f>
        <v>2080</v>
      </c>
      <c r="K365" s="9">
        <f>2080</f>
        <v>2080</v>
      </c>
      <c r="L365" s="9">
        <f>2080</f>
        <v>2080</v>
      </c>
      <c r="M365" s="9">
        <f>2080</f>
        <v>2080</v>
      </c>
      <c r="N365" s="9">
        <f t="shared" si="196"/>
        <v>24960</v>
      </c>
    </row>
    <row r="366" spans="1:14" x14ac:dyDescent="0.25">
      <c r="A366" s="3" t="s">
        <v>373</v>
      </c>
      <c r="B366" s="9">
        <f>83.37</f>
        <v>83.37</v>
      </c>
      <c r="C366" s="9">
        <f t="shared" ref="C366:M366" si="220">83.33</f>
        <v>83.33</v>
      </c>
      <c r="D366" s="9">
        <f t="shared" si="220"/>
        <v>83.33</v>
      </c>
      <c r="E366" s="9">
        <f t="shared" si="220"/>
        <v>83.33</v>
      </c>
      <c r="F366" s="9">
        <f t="shared" si="220"/>
        <v>83.33</v>
      </c>
      <c r="G366" s="9">
        <f t="shared" si="220"/>
        <v>83.33</v>
      </c>
      <c r="H366" s="9">
        <f t="shared" si="220"/>
        <v>83.33</v>
      </c>
      <c r="I366" s="9">
        <f t="shared" si="220"/>
        <v>83.33</v>
      </c>
      <c r="J366" s="9">
        <f t="shared" si="220"/>
        <v>83.33</v>
      </c>
      <c r="K366" s="9">
        <f t="shared" si="220"/>
        <v>83.33</v>
      </c>
      <c r="L366" s="9">
        <f t="shared" si="220"/>
        <v>83.33</v>
      </c>
      <c r="M366" s="9">
        <f t="shared" si="220"/>
        <v>83.33</v>
      </c>
      <c r="N366" s="9">
        <f t="shared" si="196"/>
        <v>1000.0000000000001</v>
      </c>
    </row>
    <row r="367" spans="1:14" x14ac:dyDescent="0.25">
      <c r="A367" s="3" t="s">
        <v>374</v>
      </c>
      <c r="B367" s="9">
        <f>25</f>
        <v>25</v>
      </c>
      <c r="C367" s="9">
        <f>25</f>
        <v>25</v>
      </c>
      <c r="D367" s="9">
        <f>25</f>
        <v>25</v>
      </c>
      <c r="E367" s="9">
        <f>25</f>
        <v>25</v>
      </c>
      <c r="F367" s="9">
        <f>25</f>
        <v>25</v>
      </c>
      <c r="G367" s="9">
        <f>25</f>
        <v>25</v>
      </c>
      <c r="H367" s="9">
        <f>25</f>
        <v>25</v>
      </c>
      <c r="I367" s="9">
        <f>25</f>
        <v>25</v>
      </c>
      <c r="J367" s="9">
        <f>25</f>
        <v>25</v>
      </c>
      <c r="K367" s="9">
        <f>25</f>
        <v>25</v>
      </c>
      <c r="L367" s="9">
        <f>25</f>
        <v>25</v>
      </c>
      <c r="M367" s="9">
        <f>25</f>
        <v>25</v>
      </c>
      <c r="N367" s="9">
        <f t="shared" si="196"/>
        <v>300</v>
      </c>
    </row>
    <row r="368" spans="1:14" x14ac:dyDescent="0.25">
      <c r="A368" s="3" t="s">
        <v>375</v>
      </c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9">
        <f t="shared" si="196"/>
        <v>0</v>
      </c>
    </row>
    <row r="369" spans="1:14" x14ac:dyDescent="0.25">
      <c r="A369" s="3" t="s">
        <v>376</v>
      </c>
      <c r="B369" s="9">
        <f>7367.79</f>
        <v>7367.79</v>
      </c>
      <c r="C369" s="9">
        <f t="shared" ref="C369:M369" si="221">7367.84</f>
        <v>7367.84</v>
      </c>
      <c r="D369" s="9">
        <f t="shared" si="221"/>
        <v>7367.84</v>
      </c>
      <c r="E369" s="9">
        <f t="shared" si="221"/>
        <v>7367.84</v>
      </c>
      <c r="F369" s="9">
        <f t="shared" si="221"/>
        <v>7367.84</v>
      </c>
      <c r="G369" s="9">
        <f t="shared" si="221"/>
        <v>7367.84</v>
      </c>
      <c r="H369" s="9">
        <f t="shared" si="221"/>
        <v>7367.84</v>
      </c>
      <c r="I369" s="9">
        <f t="shared" si="221"/>
        <v>7367.84</v>
      </c>
      <c r="J369" s="9">
        <f t="shared" si="221"/>
        <v>7367.84</v>
      </c>
      <c r="K369" s="9">
        <f t="shared" si="221"/>
        <v>7367.84</v>
      </c>
      <c r="L369" s="9">
        <f t="shared" si="221"/>
        <v>7367.84</v>
      </c>
      <c r="M369" s="9">
        <f t="shared" si="221"/>
        <v>7367.84</v>
      </c>
      <c r="N369" s="9">
        <f t="shared" si="196"/>
        <v>88414.029999999984</v>
      </c>
    </row>
    <row r="370" spans="1:14" x14ac:dyDescent="0.25">
      <c r="A370" s="3" t="s">
        <v>377</v>
      </c>
      <c r="B370" s="9">
        <f>390</f>
        <v>390</v>
      </c>
      <c r="C370" s="9">
        <f>390</f>
        <v>390</v>
      </c>
      <c r="D370" s="9">
        <f>390</f>
        <v>390</v>
      </c>
      <c r="E370" s="9">
        <f>390</f>
        <v>390</v>
      </c>
      <c r="F370" s="9">
        <f>390</f>
        <v>390</v>
      </c>
      <c r="G370" s="9">
        <f>390</f>
        <v>390</v>
      </c>
      <c r="H370" s="9">
        <f>390</f>
        <v>390</v>
      </c>
      <c r="I370" s="9">
        <f>390</f>
        <v>390</v>
      </c>
      <c r="J370" s="9">
        <f>390</f>
        <v>390</v>
      </c>
      <c r="K370" s="9">
        <f>390</f>
        <v>390</v>
      </c>
      <c r="L370" s="9">
        <f>390</f>
        <v>390</v>
      </c>
      <c r="M370" s="9">
        <f>390</f>
        <v>390</v>
      </c>
      <c r="N370" s="9">
        <f t="shared" si="196"/>
        <v>4680</v>
      </c>
    </row>
    <row r="371" spans="1:14" x14ac:dyDescent="0.25">
      <c r="A371" s="3" t="s">
        <v>378</v>
      </c>
      <c r="B371" s="9">
        <f>699.99</f>
        <v>699.99</v>
      </c>
      <c r="C371" s="9">
        <f t="shared" ref="C371:M371" si="222">699.94</f>
        <v>699.94</v>
      </c>
      <c r="D371" s="9">
        <f t="shared" si="222"/>
        <v>699.94</v>
      </c>
      <c r="E371" s="9">
        <f t="shared" si="222"/>
        <v>699.94</v>
      </c>
      <c r="F371" s="9">
        <f t="shared" si="222"/>
        <v>699.94</v>
      </c>
      <c r="G371" s="9">
        <f t="shared" si="222"/>
        <v>699.94</v>
      </c>
      <c r="H371" s="9">
        <f t="shared" si="222"/>
        <v>699.94</v>
      </c>
      <c r="I371" s="9">
        <f t="shared" si="222"/>
        <v>699.94</v>
      </c>
      <c r="J371" s="9">
        <f t="shared" si="222"/>
        <v>699.94</v>
      </c>
      <c r="K371" s="9">
        <f t="shared" si="222"/>
        <v>699.94</v>
      </c>
      <c r="L371" s="9">
        <f t="shared" si="222"/>
        <v>699.94</v>
      </c>
      <c r="M371" s="9">
        <f t="shared" si="222"/>
        <v>699.94</v>
      </c>
      <c r="N371" s="9">
        <f t="shared" si="196"/>
        <v>8399.3300000000036</v>
      </c>
    </row>
    <row r="372" spans="1:14" x14ac:dyDescent="0.25">
      <c r="A372" s="3" t="s">
        <v>379</v>
      </c>
      <c r="B372" s="10">
        <f t="shared" ref="B372:M372" si="223">(((B368)+(B369))+(B370))+(B371)</f>
        <v>8457.7800000000007</v>
      </c>
      <c r="C372" s="10">
        <f t="shared" si="223"/>
        <v>8457.7800000000007</v>
      </c>
      <c r="D372" s="10">
        <f t="shared" si="223"/>
        <v>8457.7800000000007</v>
      </c>
      <c r="E372" s="10">
        <f t="shared" si="223"/>
        <v>8457.7800000000007</v>
      </c>
      <c r="F372" s="10">
        <f t="shared" si="223"/>
        <v>8457.7800000000007</v>
      </c>
      <c r="G372" s="10">
        <f t="shared" si="223"/>
        <v>8457.7800000000007</v>
      </c>
      <c r="H372" s="10">
        <f t="shared" si="223"/>
        <v>8457.7800000000007</v>
      </c>
      <c r="I372" s="10">
        <f t="shared" si="223"/>
        <v>8457.7800000000007</v>
      </c>
      <c r="J372" s="10">
        <f t="shared" si="223"/>
        <v>8457.7800000000007</v>
      </c>
      <c r="K372" s="10">
        <f t="shared" si="223"/>
        <v>8457.7800000000007</v>
      </c>
      <c r="L372" s="10">
        <f t="shared" si="223"/>
        <v>8457.7800000000007</v>
      </c>
      <c r="M372" s="10">
        <f t="shared" si="223"/>
        <v>8457.7800000000007</v>
      </c>
      <c r="N372" s="10">
        <f t="shared" si="196"/>
        <v>101493.36</v>
      </c>
    </row>
    <row r="373" spans="1:14" x14ac:dyDescent="0.25">
      <c r="A373" s="3" t="s">
        <v>380</v>
      </c>
      <c r="B373" s="9">
        <f>29.13</f>
        <v>29.13</v>
      </c>
      <c r="C373" s="9">
        <f t="shared" ref="C373:M373" si="224">29.17</f>
        <v>29.17</v>
      </c>
      <c r="D373" s="9">
        <f t="shared" si="224"/>
        <v>29.17</v>
      </c>
      <c r="E373" s="9">
        <f t="shared" si="224"/>
        <v>29.17</v>
      </c>
      <c r="F373" s="9">
        <f t="shared" si="224"/>
        <v>29.17</v>
      </c>
      <c r="G373" s="9">
        <f t="shared" si="224"/>
        <v>29.17</v>
      </c>
      <c r="H373" s="9">
        <f t="shared" si="224"/>
        <v>29.17</v>
      </c>
      <c r="I373" s="9">
        <f t="shared" si="224"/>
        <v>29.17</v>
      </c>
      <c r="J373" s="9">
        <f t="shared" si="224"/>
        <v>29.17</v>
      </c>
      <c r="K373" s="9">
        <f t="shared" si="224"/>
        <v>29.17</v>
      </c>
      <c r="L373" s="9">
        <f t="shared" si="224"/>
        <v>29.17</v>
      </c>
      <c r="M373" s="9">
        <f t="shared" si="224"/>
        <v>29.17</v>
      </c>
      <c r="N373" s="9">
        <f t="shared" si="196"/>
        <v>350.00000000000011</v>
      </c>
    </row>
    <row r="374" spans="1:14" x14ac:dyDescent="0.25">
      <c r="A374" s="3" t="s">
        <v>381</v>
      </c>
      <c r="B374" s="9">
        <f>2.12</f>
        <v>2.12</v>
      </c>
      <c r="C374" s="9">
        <f t="shared" ref="C374:M374" si="225">2.08</f>
        <v>2.08</v>
      </c>
      <c r="D374" s="9">
        <f t="shared" si="225"/>
        <v>2.08</v>
      </c>
      <c r="E374" s="9">
        <f t="shared" si="225"/>
        <v>2.08</v>
      </c>
      <c r="F374" s="9">
        <f t="shared" si="225"/>
        <v>2.08</v>
      </c>
      <c r="G374" s="9">
        <f t="shared" si="225"/>
        <v>2.08</v>
      </c>
      <c r="H374" s="9">
        <f t="shared" si="225"/>
        <v>2.08</v>
      </c>
      <c r="I374" s="9">
        <f t="shared" si="225"/>
        <v>2.08</v>
      </c>
      <c r="J374" s="9">
        <f t="shared" si="225"/>
        <v>2.08</v>
      </c>
      <c r="K374" s="9">
        <f t="shared" si="225"/>
        <v>2.08</v>
      </c>
      <c r="L374" s="9">
        <f t="shared" si="225"/>
        <v>2.08</v>
      </c>
      <c r="M374" s="9">
        <f t="shared" si="225"/>
        <v>2.08</v>
      </c>
      <c r="N374" s="9">
        <f t="shared" si="196"/>
        <v>24.999999999999993</v>
      </c>
    </row>
    <row r="375" spans="1:14" x14ac:dyDescent="0.25">
      <c r="A375" s="3" t="s">
        <v>382</v>
      </c>
      <c r="B375" s="9">
        <f>4.13</f>
        <v>4.13</v>
      </c>
      <c r="C375" s="9">
        <f t="shared" ref="C375:M375" si="226">4.17</f>
        <v>4.17</v>
      </c>
      <c r="D375" s="9">
        <f t="shared" si="226"/>
        <v>4.17</v>
      </c>
      <c r="E375" s="9">
        <f t="shared" si="226"/>
        <v>4.17</v>
      </c>
      <c r="F375" s="9">
        <f t="shared" si="226"/>
        <v>4.17</v>
      </c>
      <c r="G375" s="9">
        <f t="shared" si="226"/>
        <v>4.17</v>
      </c>
      <c r="H375" s="9">
        <f t="shared" si="226"/>
        <v>4.17</v>
      </c>
      <c r="I375" s="9">
        <f t="shared" si="226"/>
        <v>4.17</v>
      </c>
      <c r="J375" s="9">
        <f t="shared" si="226"/>
        <v>4.17</v>
      </c>
      <c r="K375" s="9">
        <f t="shared" si="226"/>
        <v>4.17</v>
      </c>
      <c r="L375" s="9">
        <f t="shared" si="226"/>
        <v>4.17</v>
      </c>
      <c r="M375" s="9">
        <f t="shared" si="226"/>
        <v>4.17</v>
      </c>
      <c r="N375" s="9">
        <f t="shared" si="196"/>
        <v>50.000000000000014</v>
      </c>
    </row>
    <row r="376" spans="1:14" x14ac:dyDescent="0.25">
      <c r="A376" s="3" t="s">
        <v>383</v>
      </c>
      <c r="B376" s="10">
        <f t="shared" ref="B376:M376" si="227">((((((((((B361)+(B362))+(B363))+(B364))+(B365))+(B366))+(B367))+(B372))+(B373))+(B374))+(B375)</f>
        <v>16681.830000000002</v>
      </c>
      <c r="C376" s="10">
        <f t="shared" si="227"/>
        <v>16080.43</v>
      </c>
      <c r="D376" s="10">
        <f t="shared" si="227"/>
        <v>15841.93</v>
      </c>
      <c r="E376" s="10">
        <f t="shared" si="227"/>
        <v>16397.689999999999</v>
      </c>
      <c r="F376" s="10">
        <f t="shared" si="227"/>
        <v>15855.69</v>
      </c>
      <c r="G376" s="10">
        <f t="shared" si="227"/>
        <v>17079.349999999999</v>
      </c>
      <c r="H376" s="10">
        <f t="shared" si="227"/>
        <v>15961.78</v>
      </c>
      <c r="I376" s="10">
        <f t="shared" si="227"/>
        <v>15842.62</v>
      </c>
      <c r="J376" s="10">
        <f t="shared" si="227"/>
        <v>16210.77</v>
      </c>
      <c r="K376" s="10">
        <f t="shared" si="227"/>
        <v>16190.980000000001</v>
      </c>
      <c r="L376" s="10">
        <f t="shared" si="227"/>
        <v>15726.890000000001</v>
      </c>
      <c r="M376" s="10">
        <f t="shared" si="227"/>
        <v>15718.95</v>
      </c>
      <c r="N376" s="10">
        <f t="shared" si="196"/>
        <v>193588.91000000003</v>
      </c>
    </row>
    <row r="377" spans="1:14" x14ac:dyDescent="0.25">
      <c r="A377" s="3" t="s">
        <v>384</v>
      </c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9">
        <f t="shared" si="196"/>
        <v>0</v>
      </c>
    </row>
    <row r="378" spans="1:14" x14ac:dyDescent="0.25">
      <c r="A378" s="3" t="s">
        <v>385</v>
      </c>
      <c r="B378" s="9">
        <f>2276.31</f>
        <v>2276.31</v>
      </c>
      <c r="C378" s="9">
        <f t="shared" ref="C378:M378" si="228">2276.36</f>
        <v>2276.36</v>
      </c>
      <c r="D378" s="9">
        <f t="shared" si="228"/>
        <v>2276.36</v>
      </c>
      <c r="E378" s="9">
        <f t="shared" si="228"/>
        <v>2276.36</v>
      </c>
      <c r="F378" s="9">
        <f t="shared" si="228"/>
        <v>2276.36</v>
      </c>
      <c r="G378" s="9">
        <f t="shared" si="228"/>
        <v>2276.36</v>
      </c>
      <c r="H378" s="9">
        <f t="shared" si="228"/>
        <v>2276.36</v>
      </c>
      <c r="I378" s="9">
        <f t="shared" si="228"/>
        <v>2276.36</v>
      </c>
      <c r="J378" s="9">
        <f t="shared" si="228"/>
        <v>2276.36</v>
      </c>
      <c r="K378" s="9">
        <f t="shared" si="228"/>
        <v>2276.36</v>
      </c>
      <c r="L378" s="9">
        <f t="shared" si="228"/>
        <v>2276.36</v>
      </c>
      <c r="M378" s="9">
        <f t="shared" si="228"/>
        <v>2276.36</v>
      </c>
      <c r="N378" s="9">
        <f t="shared" si="196"/>
        <v>27316.270000000004</v>
      </c>
    </row>
    <row r="379" spans="1:14" x14ac:dyDescent="0.25">
      <c r="A379" s="3" t="s">
        <v>386</v>
      </c>
      <c r="B379" s="9">
        <f>708.37</f>
        <v>708.37</v>
      </c>
      <c r="C379" s="9">
        <f t="shared" ref="C379:M379" si="229">708.33</f>
        <v>708.33</v>
      </c>
      <c r="D379" s="9">
        <f t="shared" si="229"/>
        <v>708.33</v>
      </c>
      <c r="E379" s="9">
        <f t="shared" si="229"/>
        <v>708.33</v>
      </c>
      <c r="F379" s="9">
        <f t="shared" si="229"/>
        <v>708.33</v>
      </c>
      <c r="G379" s="9">
        <f t="shared" si="229"/>
        <v>708.33</v>
      </c>
      <c r="H379" s="9">
        <f t="shared" si="229"/>
        <v>708.33</v>
      </c>
      <c r="I379" s="9">
        <f t="shared" si="229"/>
        <v>708.33</v>
      </c>
      <c r="J379" s="9">
        <f t="shared" si="229"/>
        <v>708.33</v>
      </c>
      <c r="K379" s="9">
        <f t="shared" si="229"/>
        <v>708.33</v>
      </c>
      <c r="L379" s="9">
        <f t="shared" si="229"/>
        <v>708.33</v>
      </c>
      <c r="M379" s="9">
        <f t="shared" si="229"/>
        <v>708.33</v>
      </c>
      <c r="N379" s="9">
        <f t="shared" si="196"/>
        <v>8500</v>
      </c>
    </row>
    <row r="380" spans="1:14" x14ac:dyDescent="0.25">
      <c r="A380" s="3" t="s">
        <v>387</v>
      </c>
      <c r="B380" s="9">
        <f>4160</f>
        <v>4160</v>
      </c>
      <c r="C380" s="9">
        <f>4160</f>
        <v>4160</v>
      </c>
      <c r="D380" s="9">
        <f>4160</f>
        <v>4160</v>
      </c>
      <c r="E380" s="9">
        <f>4160</f>
        <v>4160</v>
      </c>
      <c r="F380" s="9">
        <f>4160</f>
        <v>4160</v>
      </c>
      <c r="G380" s="9">
        <f>4160</f>
        <v>4160</v>
      </c>
      <c r="H380" s="9">
        <f>4160</f>
        <v>4160</v>
      </c>
      <c r="I380" s="9">
        <f>4160</f>
        <v>4160</v>
      </c>
      <c r="J380" s="9">
        <f>4160</f>
        <v>4160</v>
      </c>
      <c r="K380" s="9">
        <f>4160</f>
        <v>4160</v>
      </c>
      <c r="L380" s="9">
        <f>4160</f>
        <v>4160</v>
      </c>
      <c r="M380" s="9">
        <f>4160</f>
        <v>4160</v>
      </c>
      <c r="N380" s="9">
        <f t="shared" si="196"/>
        <v>49920</v>
      </c>
    </row>
    <row r="381" spans="1:14" x14ac:dyDescent="0.25">
      <c r="A381" s="3" t="s">
        <v>388</v>
      </c>
      <c r="B381" s="9">
        <f>2470.57</f>
        <v>2470.5700000000002</v>
      </c>
      <c r="C381" s="9">
        <f t="shared" ref="C381:M381" si="230">2470.59</f>
        <v>2470.59</v>
      </c>
      <c r="D381" s="9">
        <f t="shared" si="230"/>
        <v>2470.59</v>
      </c>
      <c r="E381" s="9">
        <f t="shared" si="230"/>
        <v>2470.59</v>
      </c>
      <c r="F381" s="9">
        <f t="shared" si="230"/>
        <v>2470.59</v>
      </c>
      <c r="G381" s="9">
        <f t="shared" si="230"/>
        <v>2470.59</v>
      </c>
      <c r="H381" s="9">
        <f t="shared" si="230"/>
        <v>2470.59</v>
      </c>
      <c r="I381" s="9">
        <f t="shared" si="230"/>
        <v>2470.59</v>
      </c>
      <c r="J381" s="9">
        <f t="shared" si="230"/>
        <v>2470.59</v>
      </c>
      <c r="K381" s="9">
        <f t="shared" si="230"/>
        <v>2470.59</v>
      </c>
      <c r="L381" s="9">
        <f t="shared" si="230"/>
        <v>2470.59</v>
      </c>
      <c r="M381" s="9">
        <f t="shared" si="230"/>
        <v>2470.59</v>
      </c>
      <c r="N381" s="9">
        <f t="shared" si="196"/>
        <v>29647.06</v>
      </c>
    </row>
    <row r="382" spans="1:14" x14ac:dyDescent="0.25">
      <c r="A382" s="3" t="s">
        <v>389</v>
      </c>
      <c r="B382" s="9">
        <f>234.66</f>
        <v>234.66</v>
      </c>
      <c r="C382" s="9">
        <f t="shared" ref="C382:M382" si="231">234.71</f>
        <v>234.71</v>
      </c>
      <c r="D382" s="9">
        <f t="shared" si="231"/>
        <v>234.71</v>
      </c>
      <c r="E382" s="9">
        <f t="shared" si="231"/>
        <v>234.71</v>
      </c>
      <c r="F382" s="9">
        <f t="shared" si="231"/>
        <v>234.71</v>
      </c>
      <c r="G382" s="9">
        <f t="shared" si="231"/>
        <v>234.71</v>
      </c>
      <c r="H382" s="9">
        <f t="shared" si="231"/>
        <v>234.71</v>
      </c>
      <c r="I382" s="9">
        <f t="shared" si="231"/>
        <v>234.71</v>
      </c>
      <c r="J382" s="9">
        <f t="shared" si="231"/>
        <v>234.71</v>
      </c>
      <c r="K382" s="9">
        <f t="shared" si="231"/>
        <v>234.71</v>
      </c>
      <c r="L382" s="9">
        <f t="shared" si="231"/>
        <v>234.71</v>
      </c>
      <c r="M382" s="9">
        <f t="shared" si="231"/>
        <v>234.71</v>
      </c>
      <c r="N382" s="9">
        <f t="shared" si="196"/>
        <v>2816.4700000000003</v>
      </c>
    </row>
    <row r="383" spans="1:14" x14ac:dyDescent="0.25">
      <c r="A383" s="3" t="s">
        <v>390</v>
      </c>
      <c r="B383" s="9">
        <f>25</f>
        <v>25</v>
      </c>
      <c r="C383" s="9">
        <f>25</f>
        <v>25</v>
      </c>
      <c r="D383" s="9">
        <f>25</f>
        <v>25</v>
      </c>
      <c r="E383" s="9">
        <f>25</f>
        <v>25</v>
      </c>
      <c r="F383" s="9">
        <f>25</f>
        <v>25</v>
      </c>
      <c r="G383" s="9">
        <f>25</f>
        <v>25</v>
      </c>
      <c r="H383" s="9">
        <f>25</f>
        <v>25</v>
      </c>
      <c r="I383" s="9">
        <f>25</f>
        <v>25</v>
      </c>
      <c r="J383" s="9">
        <f>25</f>
        <v>25</v>
      </c>
      <c r="K383" s="9">
        <f>25</f>
        <v>25</v>
      </c>
      <c r="L383" s="9">
        <f>25</f>
        <v>25</v>
      </c>
      <c r="M383" s="9">
        <f>25</f>
        <v>25</v>
      </c>
      <c r="N383" s="9">
        <f t="shared" si="196"/>
        <v>300</v>
      </c>
    </row>
    <row r="384" spans="1:14" x14ac:dyDescent="0.25">
      <c r="A384" s="3" t="s">
        <v>391</v>
      </c>
      <c r="B384" s="10">
        <f t="shared" ref="B384:M384" si="232">((((((B377)+(B378))+(B379))+(B380))+(B381))+(B382))+(B383)</f>
        <v>9874.91</v>
      </c>
      <c r="C384" s="10">
        <f t="shared" si="232"/>
        <v>9874.99</v>
      </c>
      <c r="D384" s="10">
        <f t="shared" si="232"/>
        <v>9874.99</v>
      </c>
      <c r="E384" s="10">
        <f t="shared" si="232"/>
        <v>9874.99</v>
      </c>
      <c r="F384" s="10">
        <f t="shared" si="232"/>
        <v>9874.99</v>
      </c>
      <c r="G384" s="10">
        <f t="shared" si="232"/>
        <v>9874.99</v>
      </c>
      <c r="H384" s="10">
        <f t="shared" si="232"/>
        <v>9874.99</v>
      </c>
      <c r="I384" s="10">
        <f t="shared" si="232"/>
        <v>9874.99</v>
      </c>
      <c r="J384" s="10">
        <f t="shared" si="232"/>
        <v>9874.99</v>
      </c>
      <c r="K384" s="10">
        <f t="shared" si="232"/>
        <v>9874.99</v>
      </c>
      <c r="L384" s="10">
        <f t="shared" si="232"/>
        <v>9874.99</v>
      </c>
      <c r="M384" s="10">
        <f t="shared" si="232"/>
        <v>9874.99</v>
      </c>
      <c r="N384" s="10">
        <f t="shared" si="196"/>
        <v>118499.80000000002</v>
      </c>
    </row>
    <row r="385" spans="1:14" x14ac:dyDescent="0.25">
      <c r="A385" s="3" t="s">
        <v>392</v>
      </c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9">
        <f t="shared" si="196"/>
        <v>0</v>
      </c>
    </row>
    <row r="386" spans="1:14" x14ac:dyDescent="0.25">
      <c r="A386" s="3" t="s">
        <v>393</v>
      </c>
      <c r="B386" s="9">
        <f>5963.96</f>
        <v>5963.96</v>
      </c>
      <c r="C386" s="9">
        <f t="shared" ref="C386:M386" si="233">5963.99</f>
        <v>5963.99</v>
      </c>
      <c r="D386" s="9">
        <f t="shared" si="233"/>
        <v>5963.99</v>
      </c>
      <c r="E386" s="9">
        <f t="shared" si="233"/>
        <v>5963.99</v>
      </c>
      <c r="F386" s="9">
        <f t="shared" si="233"/>
        <v>5963.99</v>
      </c>
      <c r="G386" s="9">
        <f t="shared" si="233"/>
        <v>5963.99</v>
      </c>
      <c r="H386" s="9">
        <f t="shared" si="233"/>
        <v>5963.99</v>
      </c>
      <c r="I386" s="9">
        <f t="shared" si="233"/>
        <v>5963.99</v>
      </c>
      <c r="J386" s="9">
        <f t="shared" si="233"/>
        <v>5963.99</v>
      </c>
      <c r="K386" s="9">
        <f t="shared" si="233"/>
        <v>5963.99</v>
      </c>
      <c r="L386" s="9">
        <f t="shared" si="233"/>
        <v>5963.99</v>
      </c>
      <c r="M386" s="9">
        <f t="shared" si="233"/>
        <v>5963.99</v>
      </c>
      <c r="N386" s="9">
        <f t="shared" si="196"/>
        <v>71567.849999999991</v>
      </c>
    </row>
    <row r="387" spans="1:14" x14ac:dyDescent="0.25">
      <c r="A387" s="3" t="s">
        <v>394</v>
      </c>
      <c r="B387" s="9">
        <f>15067.87</f>
        <v>15067.87</v>
      </c>
      <c r="C387" s="9">
        <f>10836.35</f>
        <v>10836.35</v>
      </c>
      <c r="D387" s="9">
        <f>9158.25</f>
        <v>9158.25</v>
      </c>
      <c r="E387" s="9">
        <f>13068.6</f>
        <v>13068.6</v>
      </c>
      <c r="F387" s="9">
        <f>9255.05</f>
        <v>9255.0499999999993</v>
      </c>
      <c r="G387" s="9">
        <f>17864.84</f>
        <v>17864.84</v>
      </c>
      <c r="H387" s="9">
        <f>10001.49</f>
        <v>10001.49</v>
      </c>
      <c r="I387" s="9">
        <f>9163.06</f>
        <v>9163.06</v>
      </c>
      <c r="J387" s="9">
        <f>11753.43</f>
        <v>11753.43</v>
      </c>
      <c r="K387" s="9">
        <f>11614.2</f>
        <v>11614.2</v>
      </c>
      <c r="L387" s="9">
        <f>8348.77</f>
        <v>8348.77</v>
      </c>
      <c r="M387" s="9">
        <f>8292.59</f>
        <v>8292.59</v>
      </c>
      <c r="N387" s="9">
        <f t="shared" si="196"/>
        <v>134424.5</v>
      </c>
    </row>
    <row r="388" spans="1:14" x14ac:dyDescent="0.25">
      <c r="A388" s="3" t="s">
        <v>395</v>
      </c>
      <c r="B388" s="9">
        <f>291.63</f>
        <v>291.63</v>
      </c>
      <c r="C388" s="9">
        <f t="shared" ref="C388:M388" si="234">291.67</f>
        <v>291.67</v>
      </c>
      <c r="D388" s="9">
        <f t="shared" si="234"/>
        <v>291.67</v>
      </c>
      <c r="E388" s="9">
        <f t="shared" si="234"/>
        <v>291.67</v>
      </c>
      <c r="F388" s="9">
        <f t="shared" si="234"/>
        <v>291.67</v>
      </c>
      <c r="G388" s="9">
        <f t="shared" si="234"/>
        <v>291.67</v>
      </c>
      <c r="H388" s="9">
        <f t="shared" si="234"/>
        <v>291.67</v>
      </c>
      <c r="I388" s="9">
        <f t="shared" si="234"/>
        <v>291.67</v>
      </c>
      <c r="J388" s="9">
        <f t="shared" si="234"/>
        <v>291.67</v>
      </c>
      <c r="K388" s="9">
        <f t="shared" si="234"/>
        <v>291.67</v>
      </c>
      <c r="L388" s="9">
        <f t="shared" si="234"/>
        <v>291.67</v>
      </c>
      <c r="M388" s="9">
        <f t="shared" si="234"/>
        <v>291.67</v>
      </c>
      <c r="N388" s="9">
        <f t="shared" si="196"/>
        <v>3500.0000000000005</v>
      </c>
    </row>
    <row r="389" spans="1:14" x14ac:dyDescent="0.25">
      <c r="A389" s="3" t="s">
        <v>396</v>
      </c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9">
        <f t="shared" si="196"/>
        <v>0</v>
      </c>
    </row>
    <row r="390" spans="1:14" x14ac:dyDescent="0.25">
      <c r="A390" s="3" t="s">
        <v>397</v>
      </c>
      <c r="B390" s="9">
        <f t="shared" ref="B390:M390" si="235">59352.7</f>
        <v>59352.7</v>
      </c>
      <c r="C390" s="9">
        <f t="shared" si="235"/>
        <v>59352.7</v>
      </c>
      <c r="D390" s="9">
        <f t="shared" si="235"/>
        <v>59352.7</v>
      </c>
      <c r="E390" s="9">
        <f t="shared" si="235"/>
        <v>59352.7</v>
      </c>
      <c r="F390" s="9">
        <f t="shared" si="235"/>
        <v>59352.7</v>
      </c>
      <c r="G390" s="9">
        <f t="shared" si="235"/>
        <v>59352.7</v>
      </c>
      <c r="H390" s="9">
        <f t="shared" si="235"/>
        <v>59352.7</v>
      </c>
      <c r="I390" s="9">
        <f t="shared" si="235"/>
        <v>59352.7</v>
      </c>
      <c r="J390" s="9">
        <f t="shared" si="235"/>
        <v>59352.7</v>
      </c>
      <c r="K390" s="9">
        <f t="shared" si="235"/>
        <v>59352.7</v>
      </c>
      <c r="L390" s="9">
        <f t="shared" si="235"/>
        <v>59352.7</v>
      </c>
      <c r="M390" s="9">
        <f t="shared" si="235"/>
        <v>59352.7</v>
      </c>
      <c r="N390" s="9">
        <f t="shared" si="196"/>
        <v>712232.39999999991</v>
      </c>
    </row>
    <row r="391" spans="1:14" x14ac:dyDescent="0.25">
      <c r="A391" s="3" t="s">
        <v>398</v>
      </c>
      <c r="B391" s="9">
        <f>6240</f>
        <v>6240</v>
      </c>
      <c r="C391" s="9">
        <f>6240</f>
        <v>6240</v>
      </c>
      <c r="D391" s="9">
        <f>6240</f>
        <v>6240</v>
      </c>
      <c r="E391" s="9">
        <f>6240</f>
        <v>6240</v>
      </c>
      <c r="F391" s="9">
        <f>6240</f>
        <v>6240</v>
      </c>
      <c r="G391" s="9">
        <f>6240</f>
        <v>6240</v>
      </c>
      <c r="H391" s="9">
        <f>6240</f>
        <v>6240</v>
      </c>
      <c r="I391" s="9">
        <f>6240</f>
        <v>6240</v>
      </c>
      <c r="J391" s="9">
        <f>6240</f>
        <v>6240</v>
      </c>
      <c r="K391" s="9">
        <f>6240</f>
        <v>6240</v>
      </c>
      <c r="L391" s="9">
        <f>6240</f>
        <v>6240</v>
      </c>
      <c r="M391" s="9">
        <f>6240</f>
        <v>6240</v>
      </c>
      <c r="N391" s="9">
        <f t="shared" ref="N391:N439" si="236">(((((((((((B391)+(C391))+(D391))+(E391))+(F391))+(G391))+(H391))+(I391))+(J391))+(K391))+(L391))+(M391)</f>
        <v>74880</v>
      </c>
    </row>
    <row r="392" spans="1:14" x14ac:dyDescent="0.25">
      <c r="A392" s="3" t="s">
        <v>399</v>
      </c>
      <c r="B392" s="9">
        <f t="shared" ref="B392:M392" si="237">5638.51</f>
        <v>5638.51</v>
      </c>
      <c r="C392" s="9">
        <f t="shared" si="237"/>
        <v>5638.51</v>
      </c>
      <c r="D392" s="9">
        <f t="shared" si="237"/>
        <v>5638.51</v>
      </c>
      <c r="E392" s="9">
        <f t="shared" si="237"/>
        <v>5638.51</v>
      </c>
      <c r="F392" s="9">
        <f t="shared" si="237"/>
        <v>5638.51</v>
      </c>
      <c r="G392" s="9">
        <f t="shared" si="237"/>
        <v>5638.51</v>
      </c>
      <c r="H392" s="9">
        <f t="shared" si="237"/>
        <v>5638.51</v>
      </c>
      <c r="I392" s="9">
        <f t="shared" si="237"/>
        <v>5638.51</v>
      </c>
      <c r="J392" s="9">
        <f t="shared" si="237"/>
        <v>5638.51</v>
      </c>
      <c r="K392" s="9">
        <f t="shared" si="237"/>
        <v>5638.51</v>
      </c>
      <c r="L392" s="9">
        <f t="shared" si="237"/>
        <v>5638.51</v>
      </c>
      <c r="M392" s="9">
        <f t="shared" si="237"/>
        <v>5638.51</v>
      </c>
      <c r="N392" s="9">
        <f t="shared" si="236"/>
        <v>67662.12000000001</v>
      </c>
    </row>
    <row r="393" spans="1:14" x14ac:dyDescent="0.25">
      <c r="A393" s="3" t="s">
        <v>400</v>
      </c>
      <c r="B393" s="9">
        <f>125</f>
        <v>125</v>
      </c>
      <c r="C393" s="9">
        <f>125</f>
        <v>125</v>
      </c>
      <c r="D393" s="9">
        <f>125</f>
        <v>125</v>
      </c>
      <c r="E393" s="9">
        <f>125</f>
        <v>125</v>
      </c>
      <c r="F393" s="9">
        <f>125</f>
        <v>125</v>
      </c>
      <c r="G393" s="9">
        <f>125</f>
        <v>125</v>
      </c>
      <c r="H393" s="9">
        <f>125</f>
        <v>125</v>
      </c>
      <c r="I393" s="9">
        <f>125</f>
        <v>125</v>
      </c>
      <c r="J393" s="9">
        <f>125</f>
        <v>125</v>
      </c>
      <c r="K393" s="9">
        <f>125</f>
        <v>125</v>
      </c>
      <c r="L393" s="9">
        <f>125</f>
        <v>125</v>
      </c>
      <c r="M393" s="9">
        <f>125</f>
        <v>125</v>
      </c>
      <c r="N393" s="9">
        <f t="shared" si="236"/>
        <v>1500</v>
      </c>
    </row>
    <row r="394" spans="1:14" x14ac:dyDescent="0.25">
      <c r="A394" s="3" t="s">
        <v>401</v>
      </c>
      <c r="B394" s="10">
        <f t="shared" ref="B394:M394" si="238">((((B389)+(B390))+(B391))+(B392))+(B393)</f>
        <v>71356.209999999992</v>
      </c>
      <c r="C394" s="10">
        <f t="shared" si="238"/>
        <v>71356.209999999992</v>
      </c>
      <c r="D394" s="10">
        <f t="shared" si="238"/>
        <v>71356.209999999992</v>
      </c>
      <c r="E394" s="10">
        <f t="shared" si="238"/>
        <v>71356.209999999992</v>
      </c>
      <c r="F394" s="10">
        <f t="shared" si="238"/>
        <v>71356.209999999992</v>
      </c>
      <c r="G394" s="10">
        <f t="shared" si="238"/>
        <v>71356.209999999992</v>
      </c>
      <c r="H394" s="10">
        <f t="shared" si="238"/>
        <v>71356.209999999992</v>
      </c>
      <c r="I394" s="10">
        <f t="shared" si="238"/>
        <v>71356.209999999992</v>
      </c>
      <c r="J394" s="10">
        <f t="shared" si="238"/>
        <v>71356.209999999992</v>
      </c>
      <c r="K394" s="10">
        <f t="shared" si="238"/>
        <v>71356.209999999992</v>
      </c>
      <c r="L394" s="10">
        <f t="shared" si="238"/>
        <v>71356.209999999992</v>
      </c>
      <c r="M394" s="10">
        <f t="shared" si="238"/>
        <v>71356.209999999992</v>
      </c>
      <c r="N394" s="10">
        <f t="shared" si="236"/>
        <v>856274.51999999967</v>
      </c>
    </row>
    <row r="395" spans="1:14" x14ac:dyDescent="0.25">
      <c r="A395" s="3" t="s">
        <v>402</v>
      </c>
      <c r="B395" s="9">
        <f t="shared" ref="B395:M395" si="239">62.5</f>
        <v>62.5</v>
      </c>
      <c r="C395" s="9">
        <f t="shared" si="239"/>
        <v>62.5</v>
      </c>
      <c r="D395" s="9">
        <f t="shared" si="239"/>
        <v>62.5</v>
      </c>
      <c r="E395" s="9">
        <f t="shared" si="239"/>
        <v>62.5</v>
      </c>
      <c r="F395" s="9">
        <f t="shared" si="239"/>
        <v>62.5</v>
      </c>
      <c r="G395" s="9">
        <f t="shared" si="239"/>
        <v>62.5</v>
      </c>
      <c r="H395" s="9">
        <f t="shared" si="239"/>
        <v>62.5</v>
      </c>
      <c r="I395" s="9">
        <f t="shared" si="239"/>
        <v>62.5</v>
      </c>
      <c r="J395" s="9">
        <f t="shared" si="239"/>
        <v>62.5</v>
      </c>
      <c r="K395" s="9">
        <f t="shared" si="239"/>
        <v>62.5</v>
      </c>
      <c r="L395" s="9">
        <f t="shared" si="239"/>
        <v>62.5</v>
      </c>
      <c r="M395" s="9">
        <f t="shared" si="239"/>
        <v>62.5</v>
      </c>
      <c r="N395" s="9">
        <f t="shared" si="236"/>
        <v>750</v>
      </c>
    </row>
    <row r="396" spans="1:14" x14ac:dyDescent="0.25">
      <c r="A396" s="3" t="s">
        <v>403</v>
      </c>
      <c r="B396" s="10">
        <f t="shared" ref="B396:M396" si="240">(((((B385)+(B386))+(B387))+(B388))+(B394))+(B395)</f>
        <v>92742.17</v>
      </c>
      <c r="C396" s="10">
        <f t="shared" si="240"/>
        <v>88510.719999999987</v>
      </c>
      <c r="D396" s="10">
        <f t="shared" si="240"/>
        <v>86832.62</v>
      </c>
      <c r="E396" s="10">
        <f t="shared" si="240"/>
        <v>90742.969999999987</v>
      </c>
      <c r="F396" s="10">
        <f t="shared" si="240"/>
        <v>86929.419999999984</v>
      </c>
      <c r="G396" s="10">
        <f t="shared" si="240"/>
        <v>95539.209999999992</v>
      </c>
      <c r="H396" s="10">
        <f t="shared" si="240"/>
        <v>87675.859999999986</v>
      </c>
      <c r="I396" s="10">
        <f t="shared" si="240"/>
        <v>86837.43</v>
      </c>
      <c r="J396" s="10">
        <f t="shared" si="240"/>
        <v>89427.799999999988</v>
      </c>
      <c r="K396" s="10">
        <f t="shared" si="240"/>
        <v>89288.569999999992</v>
      </c>
      <c r="L396" s="10">
        <f t="shared" si="240"/>
        <v>86023.139999999985</v>
      </c>
      <c r="M396" s="10">
        <f t="shared" si="240"/>
        <v>85966.959999999992</v>
      </c>
      <c r="N396" s="10">
        <f t="shared" si="236"/>
        <v>1066516.8699999999</v>
      </c>
    </row>
    <row r="397" spans="1:14" x14ac:dyDescent="0.25">
      <c r="A397" s="3" t="s">
        <v>404</v>
      </c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9">
        <f t="shared" si="236"/>
        <v>0</v>
      </c>
    </row>
    <row r="398" spans="1:14" x14ac:dyDescent="0.25">
      <c r="A398" s="3" t="s">
        <v>405</v>
      </c>
      <c r="B398" s="9">
        <f>18468.33</f>
        <v>18468.330000000002</v>
      </c>
      <c r="C398" s="9">
        <f t="shared" ref="C398:M398" si="241">18468.29</f>
        <v>18468.29</v>
      </c>
      <c r="D398" s="9">
        <f t="shared" si="241"/>
        <v>18468.29</v>
      </c>
      <c r="E398" s="9">
        <f t="shared" si="241"/>
        <v>18468.29</v>
      </c>
      <c r="F398" s="9">
        <f t="shared" si="241"/>
        <v>18468.29</v>
      </c>
      <c r="G398" s="9">
        <f t="shared" si="241"/>
        <v>18468.29</v>
      </c>
      <c r="H398" s="9">
        <f t="shared" si="241"/>
        <v>18468.29</v>
      </c>
      <c r="I398" s="9">
        <f t="shared" si="241"/>
        <v>18468.29</v>
      </c>
      <c r="J398" s="9">
        <f t="shared" si="241"/>
        <v>18468.29</v>
      </c>
      <c r="K398" s="9">
        <f t="shared" si="241"/>
        <v>18468.29</v>
      </c>
      <c r="L398" s="9">
        <f t="shared" si="241"/>
        <v>18468.29</v>
      </c>
      <c r="M398" s="9">
        <f t="shared" si="241"/>
        <v>18468.29</v>
      </c>
      <c r="N398" s="9">
        <f t="shared" si="236"/>
        <v>221619.52000000008</v>
      </c>
    </row>
    <row r="399" spans="1:14" x14ac:dyDescent="0.25">
      <c r="A399" s="3" t="s">
        <v>406</v>
      </c>
      <c r="B399" s="9">
        <f>22541.1</f>
        <v>22541.1</v>
      </c>
      <c r="C399" s="9">
        <f>16210.87</f>
        <v>16210.87</v>
      </c>
      <c r="D399" s="9">
        <f>13700.48</f>
        <v>13700.48</v>
      </c>
      <c r="E399" s="9">
        <f>19550.25</f>
        <v>19550.25</v>
      </c>
      <c r="F399" s="9">
        <f>13845.28</f>
        <v>13845.28</v>
      </c>
      <c r="G399" s="9">
        <f>26725.28</f>
        <v>26725.279999999999</v>
      </c>
      <c r="H399" s="9">
        <f>14961.93</f>
        <v>14961.93</v>
      </c>
      <c r="I399" s="9">
        <f>13707.68</f>
        <v>13707.68</v>
      </c>
      <c r="J399" s="9">
        <f>17582.79</f>
        <v>17582.79</v>
      </c>
      <c r="K399" s="9">
        <f>17374.51</f>
        <v>17374.509999999998</v>
      </c>
      <c r="L399" s="9">
        <f>12489.52</f>
        <v>12489.52</v>
      </c>
      <c r="M399" s="9">
        <f>12405.47</f>
        <v>12405.47</v>
      </c>
      <c r="N399" s="9">
        <f t="shared" si="236"/>
        <v>201095.16</v>
      </c>
    </row>
    <row r="400" spans="1:14" x14ac:dyDescent="0.25">
      <c r="A400" s="3" t="s">
        <v>407</v>
      </c>
      <c r="B400" s="9">
        <f>33.37</f>
        <v>33.369999999999997</v>
      </c>
      <c r="C400" s="9">
        <f t="shared" ref="C400:M400" si="242">33.33</f>
        <v>33.33</v>
      </c>
      <c r="D400" s="9">
        <f t="shared" si="242"/>
        <v>33.33</v>
      </c>
      <c r="E400" s="9">
        <f t="shared" si="242"/>
        <v>33.33</v>
      </c>
      <c r="F400" s="9">
        <f t="shared" si="242"/>
        <v>33.33</v>
      </c>
      <c r="G400" s="9">
        <f t="shared" si="242"/>
        <v>33.33</v>
      </c>
      <c r="H400" s="9">
        <f t="shared" si="242"/>
        <v>33.33</v>
      </c>
      <c r="I400" s="9">
        <f t="shared" si="242"/>
        <v>33.33</v>
      </c>
      <c r="J400" s="9">
        <f t="shared" si="242"/>
        <v>33.33</v>
      </c>
      <c r="K400" s="9">
        <f t="shared" si="242"/>
        <v>33.33</v>
      </c>
      <c r="L400" s="9">
        <f t="shared" si="242"/>
        <v>33.33</v>
      </c>
      <c r="M400" s="9">
        <f t="shared" si="242"/>
        <v>33.33</v>
      </c>
      <c r="N400" s="9">
        <f t="shared" si="236"/>
        <v>399.99999999999989</v>
      </c>
    </row>
    <row r="401" spans="1:14" x14ac:dyDescent="0.25">
      <c r="A401" s="3" t="s">
        <v>408</v>
      </c>
      <c r="B401" s="9">
        <f>2833.37</f>
        <v>2833.37</v>
      </c>
      <c r="C401" s="9">
        <f t="shared" ref="C401:M401" si="243">2833.33</f>
        <v>2833.33</v>
      </c>
      <c r="D401" s="9">
        <f t="shared" si="243"/>
        <v>2833.33</v>
      </c>
      <c r="E401" s="9">
        <f t="shared" si="243"/>
        <v>2833.33</v>
      </c>
      <c r="F401" s="9">
        <f t="shared" si="243"/>
        <v>2833.33</v>
      </c>
      <c r="G401" s="9">
        <f t="shared" si="243"/>
        <v>2833.33</v>
      </c>
      <c r="H401" s="9">
        <f t="shared" si="243"/>
        <v>2833.33</v>
      </c>
      <c r="I401" s="9">
        <f t="shared" si="243"/>
        <v>2833.33</v>
      </c>
      <c r="J401" s="9">
        <f t="shared" si="243"/>
        <v>2833.33</v>
      </c>
      <c r="K401" s="9">
        <f t="shared" si="243"/>
        <v>2833.33</v>
      </c>
      <c r="L401" s="9">
        <f t="shared" si="243"/>
        <v>2833.33</v>
      </c>
      <c r="M401" s="9">
        <f t="shared" si="243"/>
        <v>2833.33</v>
      </c>
      <c r="N401" s="9">
        <f t="shared" si="236"/>
        <v>34000.000000000007</v>
      </c>
    </row>
    <row r="402" spans="1:14" x14ac:dyDescent="0.25">
      <c r="A402" s="3" t="s">
        <v>409</v>
      </c>
      <c r="B402" s="9">
        <f>8320</f>
        <v>8320</v>
      </c>
      <c r="C402" s="9">
        <f>8320</f>
        <v>8320</v>
      </c>
      <c r="D402" s="9">
        <f>8320</f>
        <v>8320</v>
      </c>
      <c r="E402" s="9">
        <f>8320</f>
        <v>8320</v>
      </c>
      <c r="F402" s="9">
        <f>8320</f>
        <v>8320</v>
      </c>
      <c r="G402" s="9">
        <f>8320</f>
        <v>8320</v>
      </c>
      <c r="H402" s="9">
        <f>8320</f>
        <v>8320</v>
      </c>
      <c r="I402" s="9">
        <f>8320</f>
        <v>8320</v>
      </c>
      <c r="J402" s="9">
        <f>8320</f>
        <v>8320</v>
      </c>
      <c r="K402" s="9">
        <f>8320</f>
        <v>8320</v>
      </c>
      <c r="L402" s="9">
        <f>8320</f>
        <v>8320</v>
      </c>
      <c r="M402" s="9">
        <f>8320</f>
        <v>8320</v>
      </c>
      <c r="N402" s="9">
        <f t="shared" si="236"/>
        <v>99840</v>
      </c>
    </row>
    <row r="403" spans="1:14" x14ac:dyDescent="0.25">
      <c r="A403" s="3" t="s">
        <v>410</v>
      </c>
      <c r="B403" s="9">
        <f>400</f>
        <v>400</v>
      </c>
      <c r="C403" s="9">
        <f>400</f>
        <v>400</v>
      </c>
      <c r="D403" s="9">
        <f>400</f>
        <v>400</v>
      </c>
      <c r="E403" s="9">
        <f>400</f>
        <v>400</v>
      </c>
      <c r="F403" s="9">
        <f>400</f>
        <v>400</v>
      </c>
      <c r="G403" s="9">
        <f>400</f>
        <v>400</v>
      </c>
      <c r="H403" s="9">
        <f>400</f>
        <v>400</v>
      </c>
      <c r="I403" s="9">
        <f>400</f>
        <v>400</v>
      </c>
      <c r="J403" s="9">
        <f>400</f>
        <v>400</v>
      </c>
      <c r="K403" s="9">
        <f>400</f>
        <v>400</v>
      </c>
      <c r="L403" s="9">
        <f>400</f>
        <v>400</v>
      </c>
      <c r="M403" s="9">
        <f>400</f>
        <v>400</v>
      </c>
      <c r="N403" s="9">
        <f t="shared" si="236"/>
        <v>4800</v>
      </c>
    </row>
    <row r="404" spans="1:14" x14ac:dyDescent="0.25">
      <c r="A404" s="3" t="s">
        <v>411</v>
      </c>
      <c r="B404" s="9">
        <f>250</f>
        <v>250</v>
      </c>
      <c r="C404" s="9">
        <f>250</f>
        <v>250</v>
      </c>
      <c r="D404" s="9">
        <f>250</f>
        <v>250</v>
      </c>
      <c r="E404" s="9">
        <f>250</f>
        <v>250</v>
      </c>
      <c r="F404" s="9">
        <f>250</f>
        <v>250</v>
      </c>
      <c r="G404" s="9">
        <f>250</f>
        <v>250</v>
      </c>
      <c r="H404" s="9">
        <f>250</f>
        <v>250</v>
      </c>
      <c r="I404" s="9">
        <f>250</f>
        <v>250</v>
      </c>
      <c r="J404" s="9">
        <f>250</f>
        <v>250</v>
      </c>
      <c r="K404" s="9">
        <f>250</f>
        <v>250</v>
      </c>
      <c r="L404" s="9">
        <f>250</f>
        <v>250</v>
      </c>
      <c r="M404" s="9">
        <f>250</f>
        <v>250</v>
      </c>
      <c r="N404" s="9">
        <f t="shared" si="236"/>
        <v>3000</v>
      </c>
    </row>
    <row r="405" spans="1:14" x14ac:dyDescent="0.25">
      <c r="A405" s="3" t="s">
        <v>412</v>
      </c>
      <c r="B405" s="9">
        <f>416.63</f>
        <v>416.63</v>
      </c>
      <c r="C405" s="9">
        <f t="shared" ref="C405:M405" si="244">416.67</f>
        <v>416.67</v>
      </c>
      <c r="D405" s="9">
        <f t="shared" si="244"/>
        <v>416.67</v>
      </c>
      <c r="E405" s="9">
        <f t="shared" si="244"/>
        <v>416.67</v>
      </c>
      <c r="F405" s="9">
        <f t="shared" si="244"/>
        <v>416.67</v>
      </c>
      <c r="G405" s="9">
        <f t="shared" si="244"/>
        <v>416.67</v>
      </c>
      <c r="H405" s="9">
        <f t="shared" si="244"/>
        <v>416.67</v>
      </c>
      <c r="I405" s="9">
        <f t="shared" si="244"/>
        <v>416.67</v>
      </c>
      <c r="J405" s="9">
        <f t="shared" si="244"/>
        <v>416.67</v>
      </c>
      <c r="K405" s="9">
        <f t="shared" si="244"/>
        <v>416.67</v>
      </c>
      <c r="L405" s="9">
        <f t="shared" si="244"/>
        <v>416.67</v>
      </c>
      <c r="M405" s="9">
        <f t="shared" si="244"/>
        <v>416.67</v>
      </c>
      <c r="N405" s="9">
        <f t="shared" si="236"/>
        <v>5000</v>
      </c>
    </row>
    <row r="406" spans="1:14" x14ac:dyDescent="0.25">
      <c r="A406" s="3" t="s">
        <v>413</v>
      </c>
      <c r="B406" s="10">
        <f t="shared" ref="B406:M406" si="245">(B404)+(B405)</f>
        <v>666.63</v>
      </c>
      <c r="C406" s="10">
        <f t="shared" si="245"/>
        <v>666.67000000000007</v>
      </c>
      <c r="D406" s="10">
        <f t="shared" si="245"/>
        <v>666.67000000000007</v>
      </c>
      <c r="E406" s="10">
        <f t="shared" si="245"/>
        <v>666.67000000000007</v>
      </c>
      <c r="F406" s="10">
        <f t="shared" si="245"/>
        <v>666.67000000000007</v>
      </c>
      <c r="G406" s="10">
        <f t="shared" si="245"/>
        <v>666.67000000000007</v>
      </c>
      <c r="H406" s="10">
        <f t="shared" si="245"/>
        <v>666.67000000000007</v>
      </c>
      <c r="I406" s="10">
        <f t="shared" si="245"/>
        <v>666.67000000000007</v>
      </c>
      <c r="J406" s="10">
        <f t="shared" si="245"/>
        <v>666.67000000000007</v>
      </c>
      <c r="K406" s="10">
        <f t="shared" si="245"/>
        <v>666.67000000000007</v>
      </c>
      <c r="L406" s="10">
        <f t="shared" si="245"/>
        <v>666.67000000000007</v>
      </c>
      <c r="M406" s="10">
        <f t="shared" si="245"/>
        <v>666.67000000000007</v>
      </c>
      <c r="N406" s="10">
        <f t="shared" si="236"/>
        <v>8000.0000000000009</v>
      </c>
    </row>
    <row r="407" spans="1:14" x14ac:dyDescent="0.25">
      <c r="A407" s="3" t="s">
        <v>414</v>
      </c>
      <c r="B407" s="9">
        <f>83.37</f>
        <v>83.37</v>
      </c>
      <c r="C407" s="9">
        <f t="shared" ref="C407:M407" si="246">83.33</f>
        <v>83.33</v>
      </c>
      <c r="D407" s="9">
        <f t="shared" si="246"/>
        <v>83.33</v>
      </c>
      <c r="E407" s="9">
        <f t="shared" si="246"/>
        <v>83.33</v>
      </c>
      <c r="F407" s="9">
        <f t="shared" si="246"/>
        <v>83.33</v>
      </c>
      <c r="G407" s="9">
        <f t="shared" si="246"/>
        <v>83.33</v>
      </c>
      <c r="H407" s="9">
        <f t="shared" si="246"/>
        <v>83.33</v>
      </c>
      <c r="I407" s="9">
        <f t="shared" si="246"/>
        <v>83.33</v>
      </c>
      <c r="J407" s="9">
        <f t="shared" si="246"/>
        <v>83.33</v>
      </c>
      <c r="K407" s="9">
        <f t="shared" si="246"/>
        <v>83.33</v>
      </c>
      <c r="L407" s="9">
        <f t="shared" si="246"/>
        <v>83.33</v>
      </c>
      <c r="M407" s="9">
        <f t="shared" si="246"/>
        <v>83.33</v>
      </c>
      <c r="N407" s="9">
        <f t="shared" si="236"/>
        <v>1000.0000000000001</v>
      </c>
    </row>
    <row r="408" spans="1:14" x14ac:dyDescent="0.25">
      <c r="A408" s="3" t="s">
        <v>415</v>
      </c>
      <c r="B408" s="9">
        <f>20.87</f>
        <v>20.87</v>
      </c>
      <c r="C408" s="9">
        <f t="shared" ref="C408:M408" si="247">20.83</f>
        <v>20.83</v>
      </c>
      <c r="D408" s="9">
        <f t="shared" si="247"/>
        <v>20.83</v>
      </c>
      <c r="E408" s="9">
        <f t="shared" si="247"/>
        <v>20.83</v>
      </c>
      <c r="F408" s="9">
        <f t="shared" si="247"/>
        <v>20.83</v>
      </c>
      <c r="G408" s="9">
        <f t="shared" si="247"/>
        <v>20.83</v>
      </c>
      <c r="H408" s="9">
        <f t="shared" si="247"/>
        <v>20.83</v>
      </c>
      <c r="I408" s="9">
        <f t="shared" si="247"/>
        <v>20.83</v>
      </c>
      <c r="J408" s="9">
        <f t="shared" si="247"/>
        <v>20.83</v>
      </c>
      <c r="K408" s="9">
        <f t="shared" si="247"/>
        <v>20.83</v>
      </c>
      <c r="L408" s="9">
        <f t="shared" si="247"/>
        <v>20.83</v>
      </c>
      <c r="M408" s="9">
        <f t="shared" si="247"/>
        <v>20.83</v>
      </c>
      <c r="N408" s="9">
        <f t="shared" si="236"/>
        <v>249.99999999999994</v>
      </c>
    </row>
    <row r="409" spans="1:14" x14ac:dyDescent="0.25">
      <c r="A409" s="3" t="s">
        <v>416</v>
      </c>
      <c r="B409" s="9">
        <f>125</f>
        <v>125</v>
      </c>
      <c r="C409" s="9">
        <f>125</f>
        <v>125</v>
      </c>
      <c r="D409" s="9">
        <f>125</f>
        <v>125</v>
      </c>
      <c r="E409" s="9">
        <f>125</f>
        <v>125</v>
      </c>
      <c r="F409" s="9">
        <f>125</f>
        <v>125</v>
      </c>
      <c r="G409" s="9">
        <f>125</f>
        <v>125</v>
      </c>
      <c r="H409" s="9">
        <f>125</f>
        <v>125</v>
      </c>
      <c r="I409" s="9">
        <f>125</f>
        <v>125</v>
      </c>
      <c r="J409" s="9">
        <f>125</f>
        <v>125</v>
      </c>
      <c r="K409" s="9">
        <f>125</f>
        <v>125</v>
      </c>
      <c r="L409" s="9">
        <f>125</f>
        <v>125</v>
      </c>
      <c r="M409" s="9">
        <f>125</f>
        <v>125</v>
      </c>
      <c r="N409" s="9">
        <f t="shared" si="236"/>
        <v>1500</v>
      </c>
    </row>
    <row r="410" spans="1:14" x14ac:dyDescent="0.25">
      <c r="A410" s="3" t="s">
        <v>417</v>
      </c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9">
        <f t="shared" si="236"/>
        <v>0</v>
      </c>
    </row>
    <row r="411" spans="1:14" x14ac:dyDescent="0.25">
      <c r="A411" s="3" t="s">
        <v>418</v>
      </c>
      <c r="B411" s="9">
        <f>53604.56</f>
        <v>53604.56</v>
      </c>
      <c r="C411" s="9">
        <f t="shared" ref="C411:M411" si="248">53604.55</f>
        <v>53604.55</v>
      </c>
      <c r="D411" s="9">
        <f t="shared" si="248"/>
        <v>53604.55</v>
      </c>
      <c r="E411" s="9">
        <f t="shared" si="248"/>
        <v>53604.55</v>
      </c>
      <c r="F411" s="9">
        <f t="shared" si="248"/>
        <v>53604.55</v>
      </c>
      <c r="G411" s="9">
        <f t="shared" si="248"/>
        <v>53604.55</v>
      </c>
      <c r="H411" s="9">
        <f t="shared" si="248"/>
        <v>53604.55</v>
      </c>
      <c r="I411" s="9">
        <f t="shared" si="248"/>
        <v>53604.55</v>
      </c>
      <c r="J411" s="9">
        <f t="shared" si="248"/>
        <v>53604.55</v>
      </c>
      <c r="K411" s="9">
        <f t="shared" si="248"/>
        <v>53604.55</v>
      </c>
      <c r="L411" s="9">
        <f t="shared" si="248"/>
        <v>53604.55</v>
      </c>
      <c r="M411" s="9">
        <f t="shared" si="248"/>
        <v>53604.55</v>
      </c>
      <c r="N411" s="9">
        <f t="shared" si="236"/>
        <v>643254.6100000001</v>
      </c>
    </row>
    <row r="412" spans="1:14" x14ac:dyDescent="0.25">
      <c r="A412" s="3" t="s">
        <v>419</v>
      </c>
      <c r="B412" s="9">
        <f>6630</f>
        <v>6630</v>
      </c>
      <c r="C412" s="9">
        <f>6630</f>
        <v>6630</v>
      </c>
      <c r="D412" s="9">
        <f>6630</f>
        <v>6630</v>
      </c>
      <c r="E412" s="9">
        <f>6630</f>
        <v>6630</v>
      </c>
      <c r="F412" s="9">
        <f>6630</f>
        <v>6630</v>
      </c>
      <c r="G412" s="9">
        <f>6630</f>
        <v>6630</v>
      </c>
      <c r="H412" s="9">
        <f>6630</f>
        <v>6630</v>
      </c>
      <c r="I412" s="9">
        <f>6630</f>
        <v>6630</v>
      </c>
      <c r="J412" s="9">
        <f>6630</f>
        <v>6630</v>
      </c>
      <c r="K412" s="9">
        <f>6630</f>
        <v>6630</v>
      </c>
      <c r="L412" s="9">
        <f>6630</f>
        <v>6630</v>
      </c>
      <c r="M412" s="9">
        <f>6630</f>
        <v>6630</v>
      </c>
      <c r="N412" s="9">
        <f t="shared" si="236"/>
        <v>79560</v>
      </c>
    </row>
    <row r="413" spans="1:14" x14ac:dyDescent="0.25">
      <c r="A413" s="3" t="s">
        <v>420</v>
      </c>
      <c r="B413" s="9">
        <f>5092.46</f>
        <v>5092.46</v>
      </c>
      <c r="C413" s="9">
        <f t="shared" ref="C413:M413" si="249">5092.43</f>
        <v>5092.43</v>
      </c>
      <c r="D413" s="9">
        <f t="shared" si="249"/>
        <v>5092.43</v>
      </c>
      <c r="E413" s="9">
        <f t="shared" si="249"/>
        <v>5092.43</v>
      </c>
      <c r="F413" s="9">
        <f t="shared" si="249"/>
        <v>5092.43</v>
      </c>
      <c r="G413" s="9">
        <f t="shared" si="249"/>
        <v>5092.43</v>
      </c>
      <c r="H413" s="9">
        <f t="shared" si="249"/>
        <v>5092.43</v>
      </c>
      <c r="I413" s="9">
        <f t="shared" si="249"/>
        <v>5092.43</v>
      </c>
      <c r="J413" s="9">
        <f t="shared" si="249"/>
        <v>5092.43</v>
      </c>
      <c r="K413" s="9">
        <f t="shared" si="249"/>
        <v>5092.43</v>
      </c>
      <c r="L413" s="9">
        <f t="shared" si="249"/>
        <v>5092.43</v>
      </c>
      <c r="M413" s="9">
        <f t="shared" si="249"/>
        <v>5092.43</v>
      </c>
      <c r="N413" s="9">
        <f t="shared" si="236"/>
        <v>61109.19</v>
      </c>
    </row>
    <row r="414" spans="1:14" x14ac:dyDescent="0.25">
      <c r="A414" s="3" t="s">
        <v>421</v>
      </c>
      <c r="B414" s="9">
        <f>90</f>
        <v>90</v>
      </c>
      <c r="C414" s="9">
        <f>90</f>
        <v>90</v>
      </c>
      <c r="D414" s="9">
        <f>90</f>
        <v>90</v>
      </c>
      <c r="E414" s="9">
        <f>90</f>
        <v>90</v>
      </c>
      <c r="F414" s="9">
        <f>90</f>
        <v>90</v>
      </c>
      <c r="G414" s="9">
        <f>90</f>
        <v>90</v>
      </c>
      <c r="H414" s="9">
        <f>90</f>
        <v>90</v>
      </c>
      <c r="I414" s="9">
        <f>90</f>
        <v>90</v>
      </c>
      <c r="J414" s="9">
        <f>90</f>
        <v>90</v>
      </c>
      <c r="K414" s="9">
        <f>90</f>
        <v>90</v>
      </c>
      <c r="L414" s="9">
        <f>90</f>
        <v>90</v>
      </c>
      <c r="M414" s="9">
        <f>90</f>
        <v>90</v>
      </c>
      <c r="N414" s="9">
        <f t="shared" si="236"/>
        <v>1080</v>
      </c>
    </row>
    <row r="415" spans="1:14" x14ac:dyDescent="0.25">
      <c r="A415" s="3" t="s">
        <v>422</v>
      </c>
      <c r="B415" s="10">
        <f t="shared" ref="B415:M415" si="250">((((B410)+(B411))+(B412))+(B413))+(B414)</f>
        <v>65417.02</v>
      </c>
      <c r="C415" s="10">
        <f t="shared" si="250"/>
        <v>65416.98</v>
      </c>
      <c r="D415" s="10">
        <f t="shared" si="250"/>
        <v>65416.98</v>
      </c>
      <c r="E415" s="10">
        <f t="shared" si="250"/>
        <v>65416.98</v>
      </c>
      <c r="F415" s="10">
        <f t="shared" si="250"/>
        <v>65416.98</v>
      </c>
      <c r="G415" s="10">
        <f t="shared" si="250"/>
        <v>65416.98</v>
      </c>
      <c r="H415" s="10">
        <f t="shared" si="250"/>
        <v>65416.98</v>
      </c>
      <c r="I415" s="10">
        <f t="shared" si="250"/>
        <v>65416.98</v>
      </c>
      <c r="J415" s="10">
        <f t="shared" si="250"/>
        <v>65416.98</v>
      </c>
      <c r="K415" s="10">
        <f t="shared" si="250"/>
        <v>65416.98</v>
      </c>
      <c r="L415" s="10">
        <f t="shared" si="250"/>
        <v>65416.98</v>
      </c>
      <c r="M415" s="10">
        <f t="shared" si="250"/>
        <v>65416.98</v>
      </c>
      <c r="N415" s="10">
        <f t="shared" si="236"/>
        <v>785003.79999999993</v>
      </c>
    </row>
    <row r="416" spans="1:14" x14ac:dyDescent="0.25">
      <c r="A416" s="3" t="s">
        <v>423</v>
      </c>
      <c r="B416" s="9">
        <f>166.63</f>
        <v>166.63</v>
      </c>
      <c r="C416" s="9">
        <f t="shared" ref="C416:M416" si="251">166.67</f>
        <v>166.67</v>
      </c>
      <c r="D416" s="9">
        <f t="shared" si="251"/>
        <v>166.67</v>
      </c>
      <c r="E416" s="9">
        <f t="shared" si="251"/>
        <v>166.67</v>
      </c>
      <c r="F416" s="9">
        <f t="shared" si="251"/>
        <v>166.67</v>
      </c>
      <c r="G416" s="9">
        <f t="shared" si="251"/>
        <v>166.67</v>
      </c>
      <c r="H416" s="9">
        <f t="shared" si="251"/>
        <v>166.67</v>
      </c>
      <c r="I416" s="9">
        <f t="shared" si="251"/>
        <v>166.67</v>
      </c>
      <c r="J416" s="9">
        <f t="shared" si="251"/>
        <v>166.67</v>
      </c>
      <c r="K416" s="9">
        <f t="shared" si="251"/>
        <v>166.67</v>
      </c>
      <c r="L416" s="9">
        <f t="shared" si="251"/>
        <v>166.67</v>
      </c>
      <c r="M416" s="9">
        <f t="shared" si="251"/>
        <v>166.67</v>
      </c>
      <c r="N416" s="9">
        <f t="shared" si="236"/>
        <v>2000.0000000000002</v>
      </c>
    </row>
    <row r="417" spans="1:14" x14ac:dyDescent="0.25">
      <c r="A417" s="3" t="s">
        <v>424</v>
      </c>
      <c r="B417" s="9">
        <f>35.38</f>
        <v>35.380000000000003</v>
      </c>
      <c r="C417" s="9">
        <f t="shared" ref="C417:M417" si="252">35.42</f>
        <v>35.42</v>
      </c>
      <c r="D417" s="9">
        <f t="shared" si="252"/>
        <v>35.42</v>
      </c>
      <c r="E417" s="9">
        <f t="shared" si="252"/>
        <v>35.42</v>
      </c>
      <c r="F417" s="9">
        <f t="shared" si="252"/>
        <v>35.42</v>
      </c>
      <c r="G417" s="9">
        <f t="shared" si="252"/>
        <v>35.42</v>
      </c>
      <c r="H417" s="9">
        <f t="shared" si="252"/>
        <v>35.42</v>
      </c>
      <c r="I417" s="9">
        <f t="shared" si="252"/>
        <v>35.42</v>
      </c>
      <c r="J417" s="9">
        <f t="shared" si="252"/>
        <v>35.42</v>
      </c>
      <c r="K417" s="9">
        <f t="shared" si="252"/>
        <v>35.42</v>
      </c>
      <c r="L417" s="9">
        <f t="shared" si="252"/>
        <v>35.42</v>
      </c>
      <c r="M417" s="9">
        <f t="shared" si="252"/>
        <v>35.42</v>
      </c>
      <c r="N417" s="9">
        <f t="shared" si="236"/>
        <v>425.00000000000011</v>
      </c>
    </row>
    <row r="418" spans="1:14" x14ac:dyDescent="0.25">
      <c r="A418" s="3" t="s">
        <v>425</v>
      </c>
      <c r="B418" s="9">
        <f>333.37</f>
        <v>333.37</v>
      </c>
      <c r="C418" s="9">
        <f t="shared" ref="C418:M418" si="253">333.33</f>
        <v>333.33</v>
      </c>
      <c r="D418" s="9">
        <f t="shared" si="253"/>
        <v>333.33</v>
      </c>
      <c r="E418" s="9">
        <f t="shared" si="253"/>
        <v>333.33</v>
      </c>
      <c r="F418" s="9">
        <f t="shared" si="253"/>
        <v>333.33</v>
      </c>
      <c r="G418" s="9">
        <f t="shared" si="253"/>
        <v>333.33</v>
      </c>
      <c r="H418" s="9">
        <f t="shared" si="253"/>
        <v>333.33</v>
      </c>
      <c r="I418" s="9">
        <f t="shared" si="253"/>
        <v>333.33</v>
      </c>
      <c r="J418" s="9">
        <f t="shared" si="253"/>
        <v>333.33</v>
      </c>
      <c r="K418" s="9">
        <f t="shared" si="253"/>
        <v>333.33</v>
      </c>
      <c r="L418" s="9">
        <f t="shared" si="253"/>
        <v>333.33</v>
      </c>
      <c r="M418" s="9">
        <f t="shared" si="253"/>
        <v>333.33</v>
      </c>
      <c r="N418" s="9">
        <f t="shared" si="236"/>
        <v>3999.9999999999995</v>
      </c>
    </row>
    <row r="419" spans="1:14" x14ac:dyDescent="0.25">
      <c r="A419" s="3" t="s">
        <v>426</v>
      </c>
      <c r="B419" s="9">
        <f>708.37</f>
        <v>708.37</v>
      </c>
      <c r="C419" s="9">
        <f t="shared" ref="C419:M419" si="254">708.33</f>
        <v>708.33</v>
      </c>
      <c r="D419" s="9">
        <f t="shared" si="254"/>
        <v>708.33</v>
      </c>
      <c r="E419" s="9">
        <f t="shared" si="254"/>
        <v>708.33</v>
      </c>
      <c r="F419" s="9">
        <f t="shared" si="254"/>
        <v>708.33</v>
      </c>
      <c r="G419" s="9">
        <f t="shared" si="254"/>
        <v>708.33</v>
      </c>
      <c r="H419" s="9">
        <f t="shared" si="254"/>
        <v>708.33</v>
      </c>
      <c r="I419" s="9">
        <f t="shared" si="254"/>
        <v>708.33</v>
      </c>
      <c r="J419" s="9">
        <f t="shared" si="254"/>
        <v>708.33</v>
      </c>
      <c r="K419" s="9">
        <f t="shared" si="254"/>
        <v>708.33</v>
      </c>
      <c r="L419" s="9">
        <f t="shared" si="254"/>
        <v>708.33</v>
      </c>
      <c r="M419" s="9">
        <f t="shared" si="254"/>
        <v>708.33</v>
      </c>
      <c r="N419" s="9">
        <f t="shared" si="236"/>
        <v>8500</v>
      </c>
    </row>
    <row r="420" spans="1:14" x14ac:dyDescent="0.25">
      <c r="A420" s="3" t="s">
        <v>427</v>
      </c>
      <c r="B420" s="9">
        <f>125</f>
        <v>125</v>
      </c>
      <c r="C420" s="9">
        <f>125</f>
        <v>125</v>
      </c>
      <c r="D420" s="9">
        <f>125</f>
        <v>125</v>
      </c>
      <c r="E420" s="9">
        <f>125</f>
        <v>125</v>
      </c>
      <c r="F420" s="9">
        <f>125</f>
        <v>125</v>
      </c>
      <c r="G420" s="9">
        <f>125</f>
        <v>125</v>
      </c>
      <c r="H420" s="9">
        <f>125</f>
        <v>125</v>
      </c>
      <c r="I420" s="9">
        <f>125</f>
        <v>125</v>
      </c>
      <c r="J420" s="9">
        <f>125</f>
        <v>125</v>
      </c>
      <c r="K420" s="9">
        <f>125</f>
        <v>125</v>
      </c>
      <c r="L420" s="9">
        <f>125</f>
        <v>125</v>
      </c>
      <c r="M420" s="9">
        <f>125</f>
        <v>125</v>
      </c>
      <c r="N420" s="9">
        <f t="shared" si="236"/>
        <v>1500</v>
      </c>
    </row>
    <row r="421" spans="1:14" x14ac:dyDescent="0.25">
      <c r="A421" s="3" t="s">
        <v>428</v>
      </c>
      <c r="B421" s="9">
        <f>83.37</f>
        <v>83.37</v>
      </c>
      <c r="C421" s="9">
        <f t="shared" ref="C421:M421" si="255">83.33</f>
        <v>83.33</v>
      </c>
      <c r="D421" s="9">
        <f t="shared" si="255"/>
        <v>83.33</v>
      </c>
      <c r="E421" s="9">
        <f t="shared" si="255"/>
        <v>83.33</v>
      </c>
      <c r="F421" s="9">
        <f t="shared" si="255"/>
        <v>83.33</v>
      </c>
      <c r="G421" s="9">
        <f t="shared" si="255"/>
        <v>83.33</v>
      </c>
      <c r="H421" s="9">
        <f t="shared" si="255"/>
        <v>83.33</v>
      </c>
      <c r="I421" s="9">
        <f t="shared" si="255"/>
        <v>83.33</v>
      </c>
      <c r="J421" s="9">
        <f t="shared" si="255"/>
        <v>83.33</v>
      </c>
      <c r="K421" s="9">
        <f t="shared" si="255"/>
        <v>83.33</v>
      </c>
      <c r="L421" s="9">
        <f t="shared" si="255"/>
        <v>83.33</v>
      </c>
      <c r="M421" s="9">
        <f t="shared" si="255"/>
        <v>83.33</v>
      </c>
      <c r="N421" s="9">
        <f t="shared" si="236"/>
        <v>1000.0000000000001</v>
      </c>
    </row>
    <row r="422" spans="1:14" x14ac:dyDescent="0.25">
      <c r="A422" s="3" t="s">
        <v>429</v>
      </c>
      <c r="B422" s="9">
        <f t="shared" ref="B422:M422" si="256">62.5</f>
        <v>62.5</v>
      </c>
      <c r="C422" s="9">
        <f t="shared" si="256"/>
        <v>62.5</v>
      </c>
      <c r="D422" s="9">
        <f t="shared" si="256"/>
        <v>62.5</v>
      </c>
      <c r="E422" s="9">
        <f t="shared" si="256"/>
        <v>62.5</v>
      </c>
      <c r="F422" s="9">
        <f t="shared" si="256"/>
        <v>62.5</v>
      </c>
      <c r="G422" s="9">
        <f t="shared" si="256"/>
        <v>62.5</v>
      </c>
      <c r="H422" s="9">
        <f t="shared" si="256"/>
        <v>62.5</v>
      </c>
      <c r="I422" s="9">
        <f t="shared" si="256"/>
        <v>62.5</v>
      </c>
      <c r="J422" s="9">
        <f t="shared" si="256"/>
        <v>62.5</v>
      </c>
      <c r="K422" s="9">
        <f t="shared" si="256"/>
        <v>62.5</v>
      </c>
      <c r="L422" s="9">
        <f t="shared" si="256"/>
        <v>62.5</v>
      </c>
      <c r="M422" s="9">
        <f t="shared" si="256"/>
        <v>62.5</v>
      </c>
      <c r="N422" s="9">
        <f t="shared" si="236"/>
        <v>750</v>
      </c>
    </row>
    <row r="423" spans="1:14" x14ac:dyDescent="0.25">
      <c r="A423" s="3" t="s">
        <v>430</v>
      </c>
      <c r="B423" s="9">
        <f>41.63</f>
        <v>41.63</v>
      </c>
      <c r="C423" s="9">
        <f t="shared" ref="C423:M423" si="257">41.67</f>
        <v>41.67</v>
      </c>
      <c r="D423" s="9">
        <f t="shared" si="257"/>
        <v>41.67</v>
      </c>
      <c r="E423" s="9">
        <f t="shared" si="257"/>
        <v>41.67</v>
      </c>
      <c r="F423" s="9">
        <f t="shared" si="257"/>
        <v>41.67</v>
      </c>
      <c r="G423" s="9">
        <f t="shared" si="257"/>
        <v>41.67</v>
      </c>
      <c r="H423" s="9">
        <f t="shared" si="257"/>
        <v>41.67</v>
      </c>
      <c r="I423" s="9">
        <f t="shared" si="257"/>
        <v>41.67</v>
      </c>
      <c r="J423" s="9">
        <f t="shared" si="257"/>
        <v>41.67</v>
      </c>
      <c r="K423" s="9">
        <f t="shared" si="257"/>
        <v>41.67</v>
      </c>
      <c r="L423" s="9">
        <f t="shared" si="257"/>
        <v>41.67</v>
      </c>
      <c r="M423" s="9">
        <f t="shared" si="257"/>
        <v>41.67</v>
      </c>
      <c r="N423" s="9">
        <f t="shared" si="236"/>
        <v>500.00000000000011</v>
      </c>
    </row>
    <row r="424" spans="1:14" x14ac:dyDescent="0.25">
      <c r="A424" s="3" t="s">
        <v>431</v>
      </c>
      <c r="B424" s="10">
        <f t="shared" ref="B424:M424" si="258">(((((((((((((((((((B397)+(B398))+(B399))+(B400))+(B401))+(B402))+(B403))+(B406))+(B407))+(B408))+(B409))+(B415))+(B416))+(B417))+(B418))+(B419))+(B420))+(B421))+(B422))+(B423)</f>
        <v>120465.31</v>
      </c>
      <c r="C424" s="10">
        <f t="shared" si="258"/>
        <v>114134.88</v>
      </c>
      <c r="D424" s="10">
        <f t="shared" si="258"/>
        <v>111624.49</v>
      </c>
      <c r="E424" s="10">
        <f t="shared" si="258"/>
        <v>117474.26000000001</v>
      </c>
      <c r="F424" s="10">
        <f t="shared" si="258"/>
        <v>111769.29000000001</v>
      </c>
      <c r="G424" s="10">
        <f t="shared" si="258"/>
        <v>124649.29000000001</v>
      </c>
      <c r="H424" s="10">
        <f t="shared" si="258"/>
        <v>112885.94</v>
      </c>
      <c r="I424" s="10">
        <f t="shared" si="258"/>
        <v>111631.69</v>
      </c>
      <c r="J424" s="10">
        <f t="shared" si="258"/>
        <v>115506.80000000002</v>
      </c>
      <c r="K424" s="10">
        <f t="shared" si="258"/>
        <v>115298.52000000002</v>
      </c>
      <c r="L424" s="10">
        <f t="shared" si="258"/>
        <v>110413.53</v>
      </c>
      <c r="M424" s="10">
        <f t="shared" si="258"/>
        <v>110329.48000000001</v>
      </c>
      <c r="N424" s="10">
        <f t="shared" si="236"/>
        <v>1376183.48</v>
      </c>
    </row>
    <row r="425" spans="1:14" x14ac:dyDescent="0.25">
      <c r="A425" s="3" t="s">
        <v>432</v>
      </c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9">
        <f t="shared" si="236"/>
        <v>0</v>
      </c>
    </row>
    <row r="426" spans="1:14" x14ac:dyDescent="0.25">
      <c r="A426" s="3" t="s">
        <v>433</v>
      </c>
      <c r="B426" s="9">
        <f>1556.77</f>
        <v>1556.77</v>
      </c>
      <c r="C426" s="9">
        <f t="shared" ref="C426:M426" si="259">1556.73</f>
        <v>1556.73</v>
      </c>
      <c r="D426" s="9">
        <f t="shared" si="259"/>
        <v>1556.73</v>
      </c>
      <c r="E426" s="9">
        <f t="shared" si="259"/>
        <v>1556.73</v>
      </c>
      <c r="F426" s="9">
        <f t="shared" si="259"/>
        <v>1556.73</v>
      </c>
      <c r="G426" s="9">
        <f t="shared" si="259"/>
        <v>1556.73</v>
      </c>
      <c r="H426" s="9">
        <f t="shared" si="259"/>
        <v>1556.73</v>
      </c>
      <c r="I426" s="9">
        <f t="shared" si="259"/>
        <v>1556.73</v>
      </c>
      <c r="J426" s="9">
        <f t="shared" si="259"/>
        <v>1556.73</v>
      </c>
      <c r="K426" s="9">
        <f t="shared" si="259"/>
        <v>1556.73</v>
      </c>
      <c r="L426" s="9">
        <f t="shared" si="259"/>
        <v>1556.73</v>
      </c>
      <c r="M426" s="9">
        <f t="shared" si="259"/>
        <v>1556.73</v>
      </c>
      <c r="N426" s="9">
        <f t="shared" si="236"/>
        <v>18680.799999999996</v>
      </c>
    </row>
    <row r="427" spans="1:14" x14ac:dyDescent="0.25">
      <c r="A427" s="3" t="s">
        <v>434</v>
      </c>
      <c r="B427" s="9">
        <f>1788.28</f>
        <v>1788.28</v>
      </c>
      <c r="C427" s="9">
        <f>1286.07</f>
        <v>1286.07</v>
      </c>
      <c r="D427" s="9">
        <f>1086.91</f>
        <v>1086.9100000000001</v>
      </c>
      <c r="E427" s="9">
        <f>1551</f>
        <v>1551</v>
      </c>
      <c r="F427" s="9">
        <f>1098.4</f>
        <v>1098.4000000000001</v>
      </c>
      <c r="G427" s="9">
        <f>2120.22</f>
        <v>2120.2199999999998</v>
      </c>
      <c r="H427" s="9">
        <f>1186.99</f>
        <v>1186.99</v>
      </c>
      <c r="I427" s="9">
        <f>1087.48</f>
        <v>1087.48</v>
      </c>
      <c r="J427" s="9">
        <f>1394.91</f>
        <v>1394.91</v>
      </c>
      <c r="K427" s="9">
        <f>1378.39</f>
        <v>1378.39</v>
      </c>
      <c r="L427" s="9">
        <f>990.84</f>
        <v>990.84</v>
      </c>
      <c r="M427" s="9">
        <f>984.18</f>
        <v>984.18</v>
      </c>
      <c r="N427" s="9">
        <f t="shared" si="236"/>
        <v>15953.669999999998</v>
      </c>
    </row>
    <row r="428" spans="1:14" x14ac:dyDescent="0.25">
      <c r="A428" s="3" t="s">
        <v>435</v>
      </c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9">
        <f t="shared" si="236"/>
        <v>0</v>
      </c>
    </row>
    <row r="429" spans="1:14" x14ac:dyDescent="0.25">
      <c r="A429" s="3" t="s">
        <v>436</v>
      </c>
      <c r="B429" s="9">
        <f>16335.48</f>
        <v>16335.48</v>
      </c>
      <c r="C429" s="9">
        <f t="shared" ref="C429:M429" si="260">16335.43</f>
        <v>16335.43</v>
      </c>
      <c r="D429" s="9">
        <f t="shared" si="260"/>
        <v>16335.43</v>
      </c>
      <c r="E429" s="9">
        <f t="shared" si="260"/>
        <v>16335.43</v>
      </c>
      <c r="F429" s="9">
        <f t="shared" si="260"/>
        <v>16335.43</v>
      </c>
      <c r="G429" s="9">
        <f t="shared" si="260"/>
        <v>16335.43</v>
      </c>
      <c r="H429" s="9">
        <f t="shared" si="260"/>
        <v>16335.43</v>
      </c>
      <c r="I429" s="9">
        <f t="shared" si="260"/>
        <v>16335.43</v>
      </c>
      <c r="J429" s="9">
        <f t="shared" si="260"/>
        <v>16335.43</v>
      </c>
      <c r="K429" s="9">
        <f t="shared" si="260"/>
        <v>16335.43</v>
      </c>
      <c r="L429" s="9">
        <f t="shared" si="260"/>
        <v>16335.43</v>
      </c>
      <c r="M429" s="9">
        <f t="shared" si="260"/>
        <v>16335.43</v>
      </c>
      <c r="N429" s="9">
        <f t="shared" si="236"/>
        <v>196025.20999999996</v>
      </c>
    </row>
    <row r="430" spans="1:14" x14ac:dyDescent="0.25">
      <c r="A430" s="3" t="s">
        <v>437</v>
      </c>
      <c r="B430" s="9">
        <f>1950</f>
        <v>1950</v>
      </c>
      <c r="C430" s="9">
        <f>1950</f>
        <v>1950</v>
      </c>
      <c r="D430" s="9">
        <f>1950</f>
        <v>1950</v>
      </c>
      <c r="E430" s="9">
        <f>1950</f>
        <v>1950</v>
      </c>
      <c r="F430" s="9">
        <f>1950</f>
        <v>1950</v>
      </c>
      <c r="G430" s="9">
        <f>1950</f>
        <v>1950</v>
      </c>
      <c r="H430" s="9">
        <f>1950</f>
        <v>1950</v>
      </c>
      <c r="I430" s="9">
        <f>1950</f>
        <v>1950</v>
      </c>
      <c r="J430" s="9">
        <f>1950</f>
        <v>1950</v>
      </c>
      <c r="K430" s="9">
        <f>1950</f>
        <v>1950</v>
      </c>
      <c r="L430" s="9">
        <f>1950</f>
        <v>1950</v>
      </c>
      <c r="M430" s="9">
        <f>1950</f>
        <v>1950</v>
      </c>
      <c r="N430" s="9">
        <f t="shared" si="236"/>
        <v>23400</v>
      </c>
    </row>
    <row r="431" spans="1:14" x14ac:dyDescent="0.25">
      <c r="A431" s="3" t="s">
        <v>438</v>
      </c>
      <c r="B431" s="9">
        <f>1551.82</f>
        <v>1551.82</v>
      </c>
      <c r="C431" s="9">
        <f t="shared" ref="C431:M431" si="261">1551.87</f>
        <v>1551.87</v>
      </c>
      <c r="D431" s="9">
        <f t="shared" si="261"/>
        <v>1551.87</v>
      </c>
      <c r="E431" s="9">
        <f t="shared" si="261"/>
        <v>1551.87</v>
      </c>
      <c r="F431" s="9">
        <f t="shared" si="261"/>
        <v>1551.87</v>
      </c>
      <c r="G431" s="9">
        <f t="shared" si="261"/>
        <v>1551.87</v>
      </c>
      <c r="H431" s="9">
        <f t="shared" si="261"/>
        <v>1551.87</v>
      </c>
      <c r="I431" s="9">
        <f t="shared" si="261"/>
        <v>1551.87</v>
      </c>
      <c r="J431" s="9">
        <f t="shared" si="261"/>
        <v>1551.87</v>
      </c>
      <c r="K431" s="9">
        <f t="shared" si="261"/>
        <v>1551.87</v>
      </c>
      <c r="L431" s="9">
        <f t="shared" si="261"/>
        <v>1551.87</v>
      </c>
      <c r="M431" s="9">
        <f t="shared" si="261"/>
        <v>1551.87</v>
      </c>
      <c r="N431" s="9">
        <f t="shared" si="236"/>
        <v>18622.389999999992</v>
      </c>
    </row>
    <row r="432" spans="1:14" x14ac:dyDescent="0.25">
      <c r="A432" s="3" t="s">
        <v>439</v>
      </c>
      <c r="B432" s="10">
        <f t="shared" ref="B432:M432" si="262">(((B428)+(B429))+(B430))+(B431)</f>
        <v>19837.3</v>
      </c>
      <c r="C432" s="10">
        <f t="shared" si="262"/>
        <v>19837.3</v>
      </c>
      <c r="D432" s="10">
        <f t="shared" si="262"/>
        <v>19837.3</v>
      </c>
      <c r="E432" s="10">
        <f t="shared" si="262"/>
        <v>19837.3</v>
      </c>
      <c r="F432" s="10">
        <f t="shared" si="262"/>
        <v>19837.3</v>
      </c>
      <c r="G432" s="10">
        <f t="shared" si="262"/>
        <v>19837.3</v>
      </c>
      <c r="H432" s="10">
        <f t="shared" si="262"/>
        <v>19837.3</v>
      </c>
      <c r="I432" s="10">
        <f t="shared" si="262"/>
        <v>19837.3</v>
      </c>
      <c r="J432" s="10">
        <f t="shared" si="262"/>
        <v>19837.3</v>
      </c>
      <c r="K432" s="10">
        <f t="shared" si="262"/>
        <v>19837.3</v>
      </c>
      <c r="L432" s="10">
        <f t="shared" si="262"/>
        <v>19837.3</v>
      </c>
      <c r="M432" s="10">
        <f t="shared" si="262"/>
        <v>19837.3</v>
      </c>
      <c r="N432" s="10">
        <f t="shared" si="236"/>
        <v>238047.59999999995</v>
      </c>
    </row>
    <row r="433" spans="1:14" x14ac:dyDescent="0.25">
      <c r="A433" s="3" t="s">
        <v>440</v>
      </c>
      <c r="B433" s="9">
        <f>20.87</f>
        <v>20.87</v>
      </c>
      <c r="C433" s="9">
        <f t="shared" ref="C433:M433" si="263">20.83</f>
        <v>20.83</v>
      </c>
      <c r="D433" s="9">
        <f t="shared" si="263"/>
        <v>20.83</v>
      </c>
      <c r="E433" s="9">
        <f t="shared" si="263"/>
        <v>20.83</v>
      </c>
      <c r="F433" s="9">
        <f t="shared" si="263"/>
        <v>20.83</v>
      </c>
      <c r="G433" s="9">
        <f t="shared" si="263"/>
        <v>20.83</v>
      </c>
      <c r="H433" s="9">
        <f t="shared" si="263"/>
        <v>20.83</v>
      </c>
      <c r="I433" s="9">
        <f t="shared" si="263"/>
        <v>20.83</v>
      </c>
      <c r="J433" s="9">
        <f t="shared" si="263"/>
        <v>20.83</v>
      </c>
      <c r="K433" s="9">
        <f t="shared" si="263"/>
        <v>20.83</v>
      </c>
      <c r="L433" s="9">
        <f t="shared" si="263"/>
        <v>20.83</v>
      </c>
      <c r="M433" s="9">
        <f t="shared" si="263"/>
        <v>20.83</v>
      </c>
      <c r="N433" s="9">
        <f t="shared" si="236"/>
        <v>249.99999999999994</v>
      </c>
    </row>
    <row r="434" spans="1:14" x14ac:dyDescent="0.25">
      <c r="A434" s="3" t="s">
        <v>441</v>
      </c>
      <c r="B434" s="9">
        <f>10.38</f>
        <v>10.38</v>
      </c>
      <c r="C434" s="9">
        <f t="shared" ref="C434:M434" si="264">10.42</f>
        <v>10.42</v>
      </c>
      <c r="D434" s="9">
        <f t="shared" si="264"/>
        <v>10.42</v>
      </c>
      <c r="E434" s="9">
        <f t="shared" si="264"/>
        <v>10.42</v>
      </c>
      <c r="F434" s="9">
        <f t="shared" si="264"/>
        <v>10.42</v>
      </c>
      <c r="G434" s="9">
        <f t="shared" si="264"/>
        <v>10.42</v>
      </c>
      <c r="H434" s="9">
        <f t="shared" si="264"/>
        <v>10.42</v>
      </c>
      <c r="I434" s="9">
        <f t="shared" si="264"/>
        <v>10.42</v>
      </c>
      <c r="J434" s="9">
        <f t="shared" si="264"/>
        <v>10.42</v>
      </c>
      <c r="K434" s="9">
        <f t="shared" si="264"/>
        <v>10.42</v>
      </c>
      <c r="L434" s="9">
        <f t="shared" si="264"/>
        <v>10.42</v>
      </c>
      <c r="M434" s="9">
        <f t="shared" si="264"/>
        <v>10.42</v>
      </c>
      <c r="N434" s="9">
        <f t="shared" si="236"/>
        <v>125.00000000000001</v>
      </c>
    </row>
    <row r="435" spans="1:14" x14ac:dyDescent="0.25">
      <c r="A435" s="3" t="s">
        <v>442</v>
      </c>
      <c r="B435" s="10">
        <f t="shared" ref="B435:M435" si="265">(((((B425)+(B426))+(B427))+(B432))+(B433))+(B434)</f>
        <v>23213.599999999999</v>
      </c>
      <c r="C435" s="10">
        <f t="shared" si="265"/>
        <v>22711.35</v>
      </c>
      <c r="D435" s="10">
        <f t="shared" si="265"/>
        <v>22512.19</v>
      </c>
      <c r="E435" s="10">
        <f t="shared" si="265"/>
        <v>22976.28</v>
      </c>
      <c r="F435" s="10">
        <f t="shared" si="265"/>
        <v>22523.68</v>
      </c>
      <c r="G435" s="10">
        <f t="shared" si="265"/>
        <v>23545.5</v>
      </c>
      <c r="H435" s="10">
        <f t="shared" si="265"/>
        <v>22612.27</v>
      </c>
      <c r="I435" s="10">
        <f t="shared" si="265"/>
        <v>22512.76</v>
      </c>
      <c r="J435" s="10">
        <f t="shared" si="265"/>
        <v>22820.19</v>
      </c>
      <c r="K435" s="10">
        <f t="shared" si="265"/>
        <v>22803.67</v>
      </c>
      <c r="L435" s="10">
        <f t="shared" si="265"/>
        <v>22416.12</v>
      </c>
      <c r="M435" s="10">
        <f t="shared" si="265"/>
        <v>22409.46</v>
      </c>
      <c r="N435" s="10">
        <f t="shared" si="236"/>
        <v>273057.07</v>
      </c>
    </row>
    <row r="436" spans="1:14" x14ac:dyDescent="0.25">
      <c r="A436" s="3" t="s">
        <v>443</v>
      </c>
      <c r="B436" s="10">
        <f t="shared" ref="B436:M436" si="266">(((((((((((((B240)+(B256))+(B264))+(B283))+(B296))+(B309))+(B322))+(B339))+(B360))+(B376))+(B384))+(B396))+(B424))+(B435)</f>
        <v>638935.69999999995</v>
      </c>
      <c r="C436" s="10">
        <f t="shared" si="266"/>
        <v>615738.91999999993</v>
      </c>
      <c r="D436" s="10">
        <f t="shared" si="266"/>
        <v>606639.52</v>
      </c>
      <c r="E436" s="10">
        <f t="shared" si="266"/>
        <v>627976.27</v>
      </c>
      <c r="F436" s="10">
        <f t="shared" si="266"/>
        <v>607070.15</v>
      </c>
      <c r="G436" s="10">
        <f t="shared" si="266"/>
        <v>654269.47</v>
      </c>
      <c r="H436" s="10">
        <f t="shared" si="266"/>
        <v>611262.17999999993</v>
      </c>
      <c r="I436" s="10">
        <f t="shared" si="266"/>
        <v>606565.89999999991</v>
      </c>
      <c r="J436" s="10">
        <f t="shared" si="266"/>
        <v>620766.41999999993</v>
      </c>
      <c r="K436" s="10">
        <f t="shared" si="266"/>
        <v>620003.16</v>
      </c>
      <c r="L436" s="10">
        <f t="shared" si="266"/>
        <v>602101.86</v>
      </c>
      <c r="M436" s="10">
        <f t="shared" si="266"/>
        <v>601793.91999999993</v>
      </c>
      <c r="N436" s="10">
        <f t="shared" si="236"/>
        <v>7413123.4699999997</v>
      </c>
    </row>
    <row r="437" spans="1:14" x14ac:dyDescent="0.25">
      <c r="A437" s="3" t="s">
        <v>444</v>
      </c>
      <c r="B437" s="10">
        <f t="shared" ref="B437:M437" si="267">(((B111)+(B139))+(B239))+(B436)</f>
        <v>834600.91999999993</v>
      </c>
      <c r="C437" s="10">
        <f t="shared" si="267"/>
        <v>803601.61999999988</v>
      </c>
      <c r="D437" s="10">
        <f t="shared" si="267"/>
        <v>796908.64</v>
      </c>
      <c r="E437" s="10">
        <f t="shared" si="267"/>
        <v>826454.9</v>
      </c>
      <c r="F437" s="10">
        <f t="shared" si="267"/>
        <v>799516.75</v>
      </c>
      <c r="G437" s="10">
        <f t="shared" si="267"/>
        <v>860592.14999999991</v>
      </c>
      <c r="H437" s="10">
        <f t="shared" si="267"/>
        <v>803085.17999999993</v>
      </c>
      <c r="I437" s="10">
        <f t="shared" si="267"/>
        <v>796842.8899999999</v>
      </c>
      <c r="J437" s="10">
        <f t="shared" si="267"/>
        <v>815819.95</v>
      </c>
      <c r="K437" s="10">
        <f t="shared" si="267"/>
        <v>814799.95000000007</v>
      </c>
      <c r="L437" s="10">
        <f t="shared" si="267"/>
        <v>790877.32</v>
      </c>
      <c r="M437" s="10">
        <f t="shared" si="267"/>
        <v>790465.78999999992</v>
      </c>
      <c r="N437" s="10">
        <f t="shared" si="236"/>
        <v>9733566.0599999987</v>
      </c>
    </row>
    <row r="438" spans="1:14" x14ac:dyDescent="0.25">
      <c r="A438" s="3" t="s">
        <v>445</v>
      </c>
      <c r="B438" s="10">
        <f t="shared" ref="B438:M438" si="268">(B69)-(B437)</f>
        <v>-82629.059999999939</v>
      </c>
      <c r="C438" s="10">
        <f t="shared" si="268"/>
        <v>157006.9800000001</v>
      </c>
      <c r="D438" s="10">
        <f t="shared" si="268"/>
        <v>15019.619999999995</v>
      </c>
      <c r="E438" s="10">
        <f t="shared" si="268"/>
        <v>58811.309999999939</v>
      </c>
      <c r="F438" s="10">
        <f t="shared" si="268"/>
        <v>154040.00999999989</v>
      </c>
      <c r="G438" s="10">
        <f t="shared" si="268"/>
        <v>-149113.65999999992</v>
      </c>
      <c r="H438" s="10">
        <f t="shared" si="268"/>
        <v>-74358.349999999977</v>
      </c>
      <c r="I438" s="10">
        <f t="shared" si="268"/>
        <v>74979.230000000098</v>
      </c>
      <c r="J438" s="10">
        <f t="shared" si="268"/>
        <v>-34033.829999999842</v>
      </c>
      <c r="K438" s="10">
        <f t="shared" si="268"/>
        <v>231097.71000000008</v>
      </c>
      <c r="L438" s="10">
        <f t="shared" si="268"/>
        <v>160230.25000000012</v>
      </c>
      <c r="M438" s="10">
        <f t="shared" si="268"/>
        <v>73362.590000000084</v>
      </c>
      <c r="N438" s="10">
        <f t="shared" si="236"/>
        <v>584412.80000000063</v>
      </c>
    </row>
    <row r="439" spans="1:14" x14ac:dyDescent="0.25">
      <c r="A439" s="3" t="s">
        <v>446</v>
      </c>
      <c r="B439" s="11">
        <f t="shared" ref="B439:M439" si="269">(B438)+(0)</f>
        <v>-82629.059999999939</v>
      </c>
      <c r="C439" s="11">
        <f t="shared" si="269"/>
        <v>157006.9800000001</v>
      </c>
      <c r="D439" s="11">
        <f t="shared" si="269"/>
        <v>15019.619999999995</v>
      </c>
      <c r="E439" s="11">
        <f t="shared" si="269"/>
        <v>58811.309999999939</v>
      </c>
      <c r="F439" s="11">
        <f t="shared" si="269"/>
        <v>154040.00999999989</v>
      </c>
      <c r="G439" s="11">
        <f t="shared" si="269"/>
        <v>-149113.65999999992</v>
      </c>
      <c r="H439" s="11">
        <f t="shared" si="269"/>
        <v>-74358.349999999977</v>
      </c>
      <c r="I439" s="11">
        <f t="shared" si="269"/>
        <v>74979.230000000098</v>
      </c>
      <c r="J439" s="11">
        <f t="shared" si="269"/>
        <v>-34033.829999999842</v>
      </c>
      <c r="K439" s="11">
        <f t="shared" si="269"/>
        <v>231097.71000000008</v>
      </c>
      <c r="L439" s="11">
        <f t="shared" si="269"/>
        <v>160230.25000000012</v>
      </c>
      <c r="M439" s="11">
        <f t="shared" si="269"/>
        <v>73362.590000000084</v>
      </c>
      <c r="N439" s="11">
        <f t="shared" si="236"/>
        <v>584412.80000000063</v>
      </c>
    </row>
    <row r="440" spans="1:14" x14ac:dyDescent="0.2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</row>
  </sheetData>
  <mergeCells count="3">
    <mergeCell ref="A1:N1"/>
    <mergeCell ref="A2:N2"/>
    <mergeCell ref="A3:N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Overview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Sharon Vanderpool</cp:lastModifiedBy>
  <dcterms:created xsi:type="dcterms:W3CDTF">2020-02-24T17:41:03Z</dcterms:created>
  <dcterms:modified xsi:type="dcterms:W3CDTF">2020-02-24T17:43:42Z</dcterms:modified>
</cp:coreProperties>
</file>