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oo\Desktop\"/>
    </mc:Choice>
  </mc:AlternateContent>
  <xr:revisionPtr revIDLastSave="0" documentId="8_{9A4C2D0B-2931-47E5-A116-98015FC6C3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 Budget" sheetId="2" r:id="rId1"/>
    <sheet name="Statement of Activity by Month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3" i="2" l="1"/>
  <c r="D52" i="2"/>
  <c r="D53" i="2" s="1"/>
  <c r="C48" i="2"/>
  <c r="D48" i="2" s="1"/>
  <c r="C47" i="2"/>
  <c r="D47" i="2" s="1"/>
  <c r="C46" i="2"/>
  <c r="D46" i="2" s="1"/>
  <c r="C45" i="2"/>
  <c r="D45" i="2" s="1"/>
  <c r="C43" i="2"/>
  <c r="D42" i="2"/>
  <c r="D43" i="2" s="1"/>
  <c r="C40" i="2"/>
  <c r="D39" i="2"/>
  <c r="D40" i="2" s="1"/>
  <c r="C37" i="2"/>
  <c r="D36" i="2"/>
  <c r="D37" i="2" s="1"/>
  <c r="C34" i="2"/>
  <c r="D33" i="2"/>
  <c r="D32" i="2"/>
  <c r="C30" i="2"/>
  <c r="D29" i="2"/>
  <c r="D28" i="2"/>
  <c r="D27" i="2"/>
  <c r="D26" i="2"/>
  <c r="D25" i="2"/>
  <c r="D24" i="2"/>
  <c r="D23" i="2"/>
  <c r="C21" i="2"/>
  <c r="D20" i="2"/>
  <c r="D19" i="2"/>
  <c r="C17" i="2"/>
  <c r="D16" i="2"/>
  <c r="D17" i="2" s="1"/>
  <c r="C11" i="2"/>
  <c r="D10" i="2"/>
  <c r="D9" i="2"/>
  <c r="C8" i="2"/>
  <c r="D8" i="2" s="1"/>
  <c r="D7" i="2"/>
  <c r="D6" i="2"/>
  <c r="D5" i="2"/>
  <c r="T57" i="1"/>
  <c r="S57" i="1"/>
  <c r="T56" i="1"/>
  <c r="T51" i="1"/>
  <c r="T46" i="1"/>
  <c r="T47" i="1" s="1"/>
  <c r="T44" i="1"/>
  <c r="T43" i="1"/>
  <c r="T40" i="1"/>
  <c r="T41" i="1" s="1"/>
  <c r="T37" i="1"/>
  <c r="T36" i="1"/>
  <c r="T38" i="1" s="1"/>
  <c r="T28" i="1"/>
  <c r="T34" i="1" s="1"/>
  <c r="T29" i="1"/>
  <c r="T30" i="1"/>
  <c r="T31" i="1"/>
  <c r="T32" i="1"/>
  <c r="T33" i="1"/>
  <c r="T27" i="1"/>
  <c r="T25" i="1"/>
  <c r="T21" i="1"/>
  <c r="T20" i="1"/>
  <c r="S15" i="1"/>
  <c r="T14" i="1"/>
  <c r="T13" i="1"/>
  <c r="T12" i="1"/>
  <c r="T8" i="1"/>
  <c r="T9" i="1"/>
  <c r="T10" i="1"/>
  <c r="T11" i="1"/>
  <c r="T7" i="1"/>
  <c r="S34" i="1"/>
  <c r="S21" i="1"/>
  <c r="S12" i="1"/>
  <c r="S41" i="1"/>
  <c r="S49" i="1"/>
  <c r="T49" i="1" s="1"/>
  <c r="S52" i="1"/>
  <c r="T52" i="1" s="1"/>
  <c r="S51" i="1"/>
  <c r="S50" i="1"/>
  <c r="T50" i="1" s="1"/>
  <c r="S47" i="1"/>
  <c r="S44" i="1"/>
  <c r="S38" i="1"/>
  <c r="T24" i="1"/>
  <c r="T23" i="1"/>
  <c r="S25" i="1"/>
  <c r="K57" i="1"/>
  <c r="J57" i="1"/>
  <c r="I57" i="1"/>
  <c r="G57" i="1"/>
  <c r="F57" i="1"/>
  <c r="E57" i="1"/>
  <c r="D57" i="1"/>
  <c r="C57" i="1"/>
  <c r="B57" i="1"/>
  <c r="M56" i="1"/>
  <c r="M57" i="1" s="1"/>
  <c r="L56" i="1"/>
  <c r="L57" i="1" s="1"/>
  <c r="H56" i="1"/>
  <c r="M52" i="1"/>
  <c r="L52" i="1"/>
  <c r="K52" i="1"/>
  <c r="J52" i="1"/>
  <c r="I52" i="1"/>
  <c r="H52" i="1"/>
  <c r="G52" i="1"/>
  <c r="F52" i="1"/>
  <c r="E52" i="1"/>
  <c r="D52" i="1"/>
  <c r="C52" i="1"/>
  <c r="B52" i="1"/>
  <c r="M51" i="1"/>
  <c r="L51" i="1"/>
  <c r="O51" i="1" s="1"/>
  <c r="P51" i="1" s="1"/>
  <c r="M50" i="1"/>
  <c r="L50" i="1"/>
  <c r="K50" i="1"/>
  <c r="J50" i="1"/>
  <c r="I50" i="1"/>
  <c r="H50" i="1"/>
  <c r="G50" i="1"/>
  <c r="F50" i="1"/>
  <c r="E50" i="1"/>
  <c r="D50" i="1"/>
  <c r="C50" i="1"/>
  <c r="B50" i="1"/>
  <c r="M49" i="1"/>
  <c r="L49" i="1"/>
  <c r="K49" i="1"/>
  <c r="J49" i="1"/>
  <c r="I49" i="1"/>
  <c r="H49" i="1"/>
  <c r="G49" i="1"/>
  <c r="F49" i="1"/>
  <c r="E49" i="1"/>
  <c r="D49" i="1"/>
  <c r="C49" i="1"/>
  <c r="B49" i="1"/>
  <c r="M46" i="1"/>
  <c r="M47" i="1" s="1"/>
  <c r="L46" i="1"/>
  <c r="L47" i="1" s="1"/>
  <c r="K46" i="1"/>
  <c r="J46" i="1"/>
  <c r="J47" i="1" s="1"/>
  <c r="I46" i="1"/>
  <c r="I47" i="1" s="1"/>
  <c r="H46" i="1"/>
  <c r="H47" i="1" s="1"/>
  <c r="G46" i="1"/>
  <c r="G47" i="1" s="1"/>
  <c r="F46" i="1"/>
  <c r="F47" i="1" s="1"/>
  <c r="E46" i="1"/>
  <c r="E47" i="1" s="1"/>
  <c r="D46" i="1"/>
  <c r="D47" i="1" s="1"/>
  <c r="C46" i="1"/>
  <c r="C47" i="1" s="1"/>
  <c r="B46" i="1"/>
  <c r="B47" i="1" s="1"/>
  <c r="C44" i="1"/>
  <c r="B44" i="1"/>
  <c r="M43" i="1"/>
  <c r="M44" i="1" s="1"/>
  <c r="L43" i="1"/>
  <c r="L44" i="1" s="1"/>
  <c r="K43" i="1"/>
  <c r="J43" i="1"/>
  <c r="J44" i="1" s="1"/>
  <c r="I43" i="1"/>
  <c r="I44" i="1" s="1"/>
  <c r="H43" i="1"/>
  <c r="H44" i="1" s="1"/>
  <c r="G43" i="1"/>
  <c r="G44" i="1" s="1"/>
  <c r="F43" i="1"/>
  <c r="F44" i="1" s="1"/>
  <c r="E43" i="1"/>
  <c r="E44" i="1" s="1"/>
  <c r="D43" i="1"/>
  <c r="D44" i="1" s="1"/>
  <c r="M38" i="1"/>
  <c r="L38" i="1"/>
  <c r="K38" i="1"/>
  <c r="J38" i="1"/>
  <c r="I38" i="1"/>
  <c r="H38" i="1"/>
  <c r="G38" i="1"/>
  <c r="F38" i="1"/>
  <c r="E38" i="1"/>
  <c r="C38" i="1"/>
  <c r="B38" i="1"/>
  <c r="D37" i="1"/>
  <c r="O37" i="1" s="1"/>
  <c r="P37" i="1" s="1"/>
  <c r="M33" i="1"/>
  <c r="L33" i="1"/>
  <c r="K33" i="1"/>
  <c r="J33" i="1"/>
  <c r="I33" i="1"/>
  <c r="H33" i="1"/>
  <c r="G33" i="1"/>
  <c r="F33" i="1"/>
  <c r="E33" i="1"/>
  <c r="D33" i="1"/>
  <c r="C33" i="1"/>
  <c r="B33" i="1"/>
  <c r="M32" i="1"/>
  <c r="L32" i="1"/>
  <c r="I32" i="1"/>
  <c r="F32" i="1"/>
  <c r="E32" i="1"/>
  <c r="C32" i="1"/>
  <c r="L31" i="1"/>
  <c r="Q31" i="1" s="1"/>
  <c r="J31" i="1"/>
  <c r="E31" i="1"/>
  <c r="C31" i="1"/>
  <c r="M30" i="1"/>
  <c r="Q30" i="1" s="1"/>
  <c r="F30" i="1"/>
  <c r="B30" i="1"/>
  <c r="M29" i="1"/>
  <c r="L29" i="1"/>
  <c r="K29" i="1"/>
  <c r="J29" i="1"/>
  <c r="I29" i="1"/>
  <c r="H29" i="1"/>
  <c r="G29" i="1"/>
  <c r="F29" i="1"/>
  <c r="E29" i="1"/>
  <c r="D29" i="1"/>
  <c r="C29" i="1"/>
  <c r="L28" i="1"/>
  <c r="K28" i="1"/>
  <c r="I28" i="1"/>
  <c r="F28" i="1"/>
  <c r="M24" i="1"/>
  <c r="L24" i="1"/>
  <c r="K24" i="1"/>
  <c r="J24" i="1"/>
  <c r="I24" i="1"/>
  <c r="H24" i="1"/>
  <c r="G24" i="1"/>
  <c r="F24" i="1"/>
  <c r="E24" i="1"/>
  <c r="D24" i="1"/>
  <c r="C24" i="1"/>
  <c r="B24" i="1"/>
  <c r="M23" i="1"/>
  <c r="L23" i="1"/>
  <c r="K23" i="1"/>
  <c r="J23" i="1"/>
  <c r="I23" i="1"/>
  <c r="H23" i="1"/>
  <c r="G23" i="1"/>
  <c r="F23" i="1"/>
  <c r="E23" i="1"/>
  <c r="D23" i="1"/>
  <c r="C23" i="1"/>
  <c r="B23" i="1"/>
  <c r="L21" i="1"/>
  <c r="K21" i="1"/>
  <c r="I21" i="1"/>
  <c r="H21" i="1"/>
  <c r="G21" i="1"/>
  <c r="D21" i="1"/>
  <c r="C21" i="1"/>
  <c r="B21" i="1"/>
  <c r="M20" i="1"/>
  <c r="M21" i="1" s="1"/>
  <c r="J20" i="1"/>
  <c r="J21" i="1" s="1"/>
  <c r="F20" i="1"/>
  <c r="F21" i="1" s="1"/>
  <c r="E20" i="1"/>
  <c r="E21" i="1" s="1"/>
  <c r="M14" i="1"/>
  <c r="L14" i="1"/>
  <c r="K14" i="1"/>
  <c r="J14" i="1"/>
  <c r="I14" i="1"/>
  <c r="H14" i="1"/>
  <c r="F14" i="1"/>
  <c r="E14" i="1"/>
  <c r="C14" i="1"/>
  <c r="C15" i="1" s="1"/>
  <c r="B14" i="1"/>
  <c r="M13" i="1"/>
  <c r="L13" i="1"/>
  <c r="K13" i="1"/>
  <c r="J13" i="1"/>
  <c r="I13" i="1"/>
  <c r="H13" i="1"/>
  <c r="G13" i="1"/>
  <c r="G15" i="1" s="1"/>
  <c r="F13" i="1"/>
  <c r="E13" i="1"/>
  <c r="D13" i="1"/>
  <c r="D15" i="1" s="1"/>
  <c r="B13" i="1"/>
  <c r="F11" i="1"/>
  <c r="O11" i="1" s="1"/>
  <c r="P11" i="1" s="1"/>
  <c r="L10" i="1"/>
  <c r="Q10" i="1" s="1"/>
  <c r="F10" i="1"/>
  <c r="D10" i="1"/>
  <c r="M9" i="1"/>
  <c r="K9" i="1"/>
  <c r="E9" i="1"/>
  <c r="G8" i="1"/>
  <c r="F8" i="1"/>
  <c r="E8" i="1"/>
  <c r="M7" i="1"/>
  <c r="L7" i="1"/>
  <c r="K7" i="1"/>
  <c r="J7" i="1"/>
  <c r="J12" i="1" s="1"/>
  <c r="I7" i="1"/>
  <c r="I12" i="1" s="1"/>
  <c r="H7" i="1"/>
  <c r="H12" i="1" s="1"/>
  <c r="G7" i="1"/>
  <c r="F7" i="1"/>
  <c r="E7" i="1"/>
  <c r="D7" i="1"/>
  <c r="C7" i="1"/>
  <c r="C12" i="1" s="1"/>
  <c r="B7" i="1"/>
  <c r="B12" i="1" s="1"/>
  <c r="D30" i="2" l="1"/>
  <c r="D21" i="2"/>
  <c r="D49" i="2"/>
  <c r="C12" i="2"/>
  <c r="C13" i="2" s="1"/>
  <c r="D34" i="2"/>
  <c r="D11" i="2"/>
  <c r="C49" i="2"/>
  <c r="C54" i="2" s="1"/>
  <c r="D54" i="2" s="1"/>
  <c r="T53" i="1"/>
  <c r="O8" i="1"/>
  <c r="P8" i="1" s="1"/>
  <c r="S16" i="1"/>
  <c r="G12" i="1"/>
  <c r="T15" i="1"/>
  <c r="E12" i="1"/>
  <c r="H15" i="1"/>
  <c r="H16" i="1" s="1"/>
  <c r="H17" i="1" s="1"/>
  <c r="Q21" i="1"/>
  <c r="Q50" i="1"/>
  <c r="M12" i="1"/>
  <c r="M15" i="1"/>
  <c r="Q14" i="1"/>
  <c r="Q49" i="1"/>
  <c r="E15" i="1"/>
  <c r="K12" i="1"/>
  <c r="F15" i="1"/>
  <c r="O10" i="1"/>
  <c r="P10" i="1" s="1"/>
  <c r="S53" i="1"/>
  <c r="S58" i="1" s="1"/>
  <c r="T58" i="1" s="1"/>
  <c r="Q57" i="1"/>
  <c r="Q28" i="1"/>
  <c r="Q32" i="1"/>
  <c r="Q46" i="1"/>
  <c r="Q52" i="1"/>
  <c r="M25" i="1"/>
  <c r="M34" i="1" s="1"/>
  <c r="F53" i="1"/>
  <c r="E25" i="1"/>
  <c r="E34" i="1" s="1"/>
  <c r="F25" i="1"/>
  <c r="F34" i="1" s="1"/>
  <c r="F58" i="1" s="1"/>
  <c r="Q29" i="1"/>
  <c r="D38" i="1"/>
  <c r="O38" i="1" s="1"/>
  <c r="P38" i="1" s="1"/>
  <c r="G53" i="1"/>
  <c r="F12" i="1"/>
  <c r="B15" i="1"/>
  <c r="B16" i="1" s="1"/>
  <c r="K15" i="1"/>
  <c r="G25" i="1"/>
  <c r="G34" i="1" s="1"/>
  <c r="Q24" i="1"/>
  <c r="Q33" i="1"/>
  <c r="H53" i="1"/>
  <c r="O56" i="1"/>
  <c r="P56" i="1" s="1"/>
  <c r="Q9" i="1"/>
  <c r="L15" i="1"/>
  <c r="H25" i="1"/>
  <c r="H34" i="1" s="1"/>
  <c r="Q43" i="1"/>
  <c r="I53" i="1"/>
  <c r="O33" i="1"/>
  <c r="P33" i="1" s="1"/>
  <c r="O14" i="1"/>
  <c r="P14" i="1" s="1"/>
  <c r="I25" i="1"/>
  <c r="I34" i="1" s="1"/>
  <c r="K47" i="1"/>
  <c r="Q47" i="1" s="1"/>
  <c r="O50" i="1"/>
  <c r="P50" i="1" s="1"/>
  <c r="O32" i="1"/>
  <c r="P32" i="1" s="1"/>
  <c r="O31" i="1"/>
  <c r="P31" i="1" s="1"/>
  <c r="O23" i="1"/>
  <c r="P23" i="1" s="1"/>
  <c r="J25" i="1"/>
  <c r="J34" i="1" s="1"/>
  <c r="O29" i="1"/>
  <c r="P29" i="1" s="1"/>
  <c r="O49" i="1"/>
  <c r="P49" i="1" s="1"/>
  <c r="J53" i="1"/>
  <c r="Q13" i="1"/>
  <c r="Q56" i="1"/>
  <c r="O24" i="1"/>
  <c r="P24" i="1" s="1"/>
  <c r="C25" i="1"/>
  <c r="C34" i="1" s="1"/>
  <c r="K25" i="1"/>
  <c r="O30" i="1"/>
  <c r="P30" i="1" s="1"/>
  <c r="O43" i="1"/>
  <c r="P43" i="1" s="1"/>
  <c r="K44" i="1"/>
  <c r="Q44" i="1" s="1"/>
  <c r="C53" i="1"/>
  <c r="K53" i="1"/>
  <c r="O9" i="1"/>
  <c r="P9" i="1" s="1"/>
  <c r="C16" i="1"/>
  <c r="C17" i="1" s="1"/>
  <c r="I15" i="1"/>
  <c r="I16" i="1" s="1"/>
  <c r="I17" i="1" s="1"/>
  <c r="D25" i="1"/>
  <c r="D34" i="1" s="1"/>
  <c r="L25" i="1"/>
  <c r="L34" i="1" s="1"/>
  <c r="O28" i="1"/>
  <c r="P28" i="1" s="1"/>
  <c r="D53" i="1"/>
  <c r="L53" i="1"/>
  <c r="D12" i="1"/>
  <c r="D16" i="1" s="1"/>
  <c r="D17" i="1" s="1"/>
  <c r="L12" i="1"/>
  <c r="J15" i="1"/>
  <c r="J16" i="1" s="1"/>
  <c r="J17" i="1" s="1"/>
  <c r="E53" i="1"/>
  <c r="M53" i="1"/>
  <c r="Q7" i="1"/>
  <c r="Q51" i="1"/>
  <c r="Q23" i="1"/>
  <c r="O52" i="1"/>
  <c r="P52" i="1" s="1"/>
  <c r="Q20" i="1"/>
  <c r="G16" i="1"/>
  <c r="G17" i="1" s="1"/>
  <c r="O21" i="1"/>
  <c r="P21" i="1" s="1"/>
  <c r="E16" i="1"/>
  <c r="E17" i="1" s="1"/>
  <c r="O46" i="1"/>
  <c r="P46" i="1" s="1"/>
  <c r="B53" i="1"/>
  <c r="O13" i="1"/>
  <c r="P13" i="1" s="1"/>
  <c r="O20" i="1"/>
  <c r="P20" i="1" s="1"/>
  <c r="H57" i="1"/>
  <c r="O57" i="1" s="1"/>
  <c r="P57" i="1" s="1"/>
  <c r="O7" i="1"/>
  <c r="P7" i="1" s="1"/>
  <c r="B25" i="1"/>
  <c r="D12" i="2" l="1"/>
  <c r="D13" i="2"/>
  <c r="C55" i="2"/>
  <c r="S17" i="1"/>
  <c r="T16" i="1"/>
  <c r="M16" i="1"/>
  <c r="M17" i="1" s="1"/>
  <c r="K16" i="1"/>
  <c r="L16" i="1"/>
  <c r="L17" i="1" s="1"/>
  <c r="L59" i="1" s="1"/>
  <c r="L60" i="1" s="1"/>
  <c r="G58" i="1"/>
  <c r="G59" i="1" s="1"/>
  <c r="G60" i="1" s="1"/>
  <c r="E58" i="1"/>
  <c r="E59" i="1" s="1"/>
  <c r="E60" i="1" s="1"/>
  <c r="L58" i="1"/>
  <c r="D58" i="1"/>
  <c r="D59" i="1" s="1"/>
  <c r="D60" i="1" s="1"/>
  <c r="M58" i="1"/>
  <c r="F16" i="1"/>
  <c r="F17" i="1" s="1"/>
  <c r="F59" i="1" s="1"/>
  <c r="F60" i="1" s="1"/>
  <c r="I58" i="1"/>
  <c r="I59" i="1" s="1"/>
  <c r="I60" i="1" s="1"/>
  <c r="Q12" i="1"/>
  <c r="Q15" i="1"/>
  <c r="O15" i="1"/>
  <c r="P15" i="1" s="1"/>
  <c r="O12" i="1"/>
  <c r="P12" i="1" s="1"/>
  <c r="J58" i="1"/>
  <c r="J59" i="1" s="1"/>
  <c r="J60" i="1" s="1"/>
  <c r="O47" i="1"/>
  <c r="P47" i="1" s="1"/>
  <c r="K17" i="1"/>
  <c r="K34" i="1"/>
  <c r="Q25" i="1"/>
  <c r="O44" i="1"/>
  <c r="P44" i="1" s="1"/>
  <c r="C58" i="1"/>
  <c r="C59" i="1" s="1"/>
  <c r="C60" i="1" s="1"/>
  <c r="O53" i="1"/>
  <c r="P53" i="1" s="1"/>
  <c r="Q53" i="1"/>
  <c r="B34" i="1"/>
  <c r="O25" i="1"/>
  <c r="P25" i="1" s="1"/>
  <c r="B17" i="1"/>
  <c r="H58" i="1"/>
  <c r="H59" i="1" s="1"/>
  <c r="H60" i="1" s="1"/>
  <c r="C56" i="2" l="1"/>
  <c r="D56" i="2" s="1"/>
  <c r="D55" i="2"/>
  <c r="Q16" i="1"/>
  <c r="M59" i="1"/>
  <c r="M60" i="1" s="1"/>
  <c r="S59" i="1"/>
  <c r="T17" i="1"/>
  <c r="O16" i="1"/>
  <c r="P16" i="1" s="1"/>
  <c r="K58" i="1"/>
  <c r="Q58" i="1" s="1"/>
  <c r="Q34" i="1"/>
  <c r="Q17" i="1"/>
  <c r="O17" i="1"/>
  <c r="P17" i="1" s="1"/>
  <c r="O34" i="1"/>
  <c r="P34" i="1" s="1"/>
  <c r="B58" i="1"/>
  <c r="O58" i="1" s="1"/>
  <c r="P58" i="1" s="1"/>
  <c r="S60" i="1" l="1"/>
  <c r="T60" i="1" s="1"/>
  <c r="T59" i="1"/>
  <c r="K59" i="1"/>
  <c r="K60" i="1" s="1"/>
  <c r="Q60" i="1" s="1"/>
  <c r="B59" i="1"/>
  <c r="Q59" i="1" l="1"/>
  <c r="B60" i="1"/>
  <c r="O60" i="1" s="1"/>
  <c r="P60" i="1" s="1"/>
  <c r="O59" i="1"/>
  <c r="P59" i="1" s="1"/>
</calcChain>
</file>

<file path=xl/sharedStrings.xml><?xml version="1.0" encoding="utf-8"?>
<sst xmlns="http://schemas.openxmlformats.org/spreadsheetml/2006/main" count="135" uniqueCount="79">
  <si>
    <t>Jan 2022</t>
  </si>
  <si>
    <t>Feb 2022</t>
  </si>
  <si>
    <t>Mar 2022</t>
  </si>
  <si>
    <t>Apr 2022</t>
  </si>
  <si>
    <t>May 2022</t>
  </si>
  <si>
    <t>Jun 2022</t>
  </si>
  <si>
    <t>Jul 2022</t>
  </si>
  <si>
    <t>Aug 2022</t>
  </si>
  <si>
    <t>Sep 2022</t>
  </si>
  <si>
    <t>Oct 2022</t>
  </si>
  <si>
    <t>Nov 2022</t>
  </si>
  <si>
    <t>Dec 2022</t>
  </si>
  <si>
    <t>Revenue</t>
  </si>
  <si>
    <t xml:space="preserve">   Contributed income</t>
  </si>
  <si>
    <t xml:space="preserve">      In-kind donations</t>
  </si>
  <si>
    <t xml:space="preserve">      Kroger Community Rewards</t>
  </si>
  <si>
    <t xml:space="preserve">      Smile Amazon</t>
  </si>
  <si>
    <t xml:space="preserve">      The Big Payback</t>
  </si>
  <si>
    <t xml:space="preserve">   Total Contributed income</t>
  </si>
  <si>
    <t xml:space="preserve">   Investment income</t>
  </si>
  <si>
    <t xml:space="preserve">      Unrecognized Gain/Loss</t>
  </si>
  <si>
    <t xml:space="preserve">   Total Investment income</t>
  </si>
  <si>
    <t>Total Revenue</t>
  </si>
  <si>
    <t>Gross Profit</t>
  </si>
  <si>
    <t>Expenditures</t>
  </si>
  <si>
    <t xml:space="preserve">   Advertising &amp; marketing</t>
  </si>
  <si>
    <t xml:space="preserve">      Marketing</t>
  </si>
  <si>
    <t xml:space="preserve">   Total Advertising &amp; marketing</t>
  </si>
  <si>
    <t xml:space="preserve">   Business Expenditures</t>
  </si>
  <si>
    <t xml:space="preserve">      Bank fees &amp; service charges</t>
  </si>
  <si>
    <t xml:space="preserve">         PayPal Fees</t>
  </si>
  <si>
    <t xml:space="preserve">      Total Bank fees &amp; service charges</t>
  </si>
  <si>
    <t xml:space="preserve">      Business Gift</t>
  </si>
  <si>
    <t xml:space="preserve">      Memberships &amp; subscriptions</t>
  </si>
  <si>
    <t xml:space="preserve">      Office supplies</t>
  </si>
  <si>
    <t xml:space="preserve">      Printing &amp; photocopying</t>
  </si>
  <si>
    <t xml:space="preserve">      Shipping &amp; postage</t>
  </si>
  <si>
    <t xml:space="preserve">      Software &amp; apps</t>
  </si>
  <si>
    <t xml:space="preserve">   Total Business Expenditures</t>
  </si>
  <si>
    <t xml:space="preserve">   Contract &amp; professional fees</t>
  </si>
  <si>
    <t xml:space="preserve">      Accounting fees</t>
  </si>
  <si>
    <t xml:space="preserve">   Total Contract &amp; professional fees</t>
  </si>
  <si>
    <t xml:space="preserve">   Insurance</t>
  </si>
  <si>
    <t xml:space="preserve">      Liability insurance</t>
  </si>
  <si>
    <t xml:space="preserve">   Total Insurance</t>
  </si>
  <si>
    <t xml:space="preserve">   Occupancy</t>
  </si>
  <si>
    <t xml:space="preserve">      Rent</t>
  </si>
  <si>
    <t xml:space="preserve">   Total Occupancy</t>
  </si>
  <si>
    <t xml:space="preserve">   Payroll expenses</t>
  </si>
  <si>
    <t xml:space="preserve">      FICA tax</t>
  </si>
  <si>
    <t xml:space="preserve">      Health insurance &amp; accident plans</t>
  </si>
  <si>
    <t xml:space="preserve">      Salaries &amp; wages</t>
  </si>
  <si>
    <t xml:space="preserve">   Total Payroll expenses</t>
  </si>
  <si>
    <t xml:space="preserve">   Supplies</t>
  </si>
  <si>
    <t xml:space="preserve">      Supplies &amp; materials</t>
  </si>
  <si>
    <t xml:space="preserve">   Total Supplies</t>
  </si>
  <si>
    <t>Total Expenditures</t>
  </si>
  <si>
    <t>Net Operating Revenue</t>
  </si>
  <si>
    <t>Net Revenue</t>
  </si>
  <si>
    <t>Tuesday, May 09, 2023 08:24:33 AM GMT-7 - Accrual Basis</t>
  </si>
  <si>
    <t>Springboard Landings, Inc</t>
  </si>
  <si>
    <t>Statement of Activity by Month</t>
  </si>
  <si>
    <t>January - December 2022</t>
  </si>
  <si>
    <t>Monthly Average</t>
  </si>
  <si>
    <t>Q4 Monthly Average</t>
  </si>
  <si>
    <t>2023 Budget</t>
  </si>
  <si>
    <t>2023 Average Monthly Budget</t>
  </si>
  <si>
    <t>2022 Totals</t>
  </si>
  <si>
    <t xml:space="preserve">      Meetings</t>
  </si>
  <si>
    <t>Land Development</t>
  </si>
  <si>
    <t xml:space="preserve">      Land Development</t>
  </si>
  <si>
    <t>Total Land Development</t>
  </si>
  <si>
    <t>Notes</t>
  </si>
  <si>
    <t>How should I determine this number?</t>
  </si>
  <si>
    <t xml:space="preserve">Very determinate on a Capital Campaign. If we do not start a capital Campaign I think we can end in the 120k range. </t>
  </si>
  <si>
    <t xml:space="preserve">Very determinate on a Capital Campaign. This number will be much bigger than 3 newsletters if we have a Capital Campaign. </t>
  </si>
  <si>
    <t xml:space="preserve">If there is a fall Barnes Funding Round we will have to pay Trent extra to do an audit. Budgeted high for that. </t>
  </si>
  <si>
    <t>Very determinate on a Capital Campaign. I budgeted to two round of UHS Consultant fees in preparation of a Fall Barns Fund Round. If we move forward with a Capital Campaign this will be anywhere from the 8k-20k range.</t>
  </si>
  <si>
    <t>Very determinate on a Capital Campaign. If we move forward with a Capital Campaign this will be much high to account for Donor Meetings.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</si>
</sst>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#,##0.00\ _€"/>
    <numFmt numFmtId="165" formatCode="&quot;$&quot;* #,##0.00\ _€"/>
  </numFmts>
  <fonts count="11" x14ac:knownFonts="1">
    <font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4"/>
      <color indexed="8"/>
      <name val="Arial"/>
      <family val="2"/>
    </font>
    <font>
      <sz val="9"/>
      <color rgb="FF2121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1" fillId="0" borderId="1" xfId="0" applyFont="1" applyBorder="1" applyAlignment="1">
      <alignment horizontal="center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43" fontId="0" fillId="0" borderId="0" xfId="1" applyFont="1"/>
    <xf numFmtId="43" fontId="1" fillId="0" borderId="1" xfId="1" applyFont="1" applyFill="1" applyBorder="1" applyAlignment="1">
      <alignment horizontal="center" wrapText="1"/>
    </xf>
    <xf numFmtId="43" fontId="7" fillId="0" borderId="3" xfId="1" applyFont="1" applyBorder="1"/>
    <xf numFmtId="43" fontId="7" fillId="0" borderId="0" xfId="1" applyFont="1" applyBorder="1"/>
    <xf numFmtId="0" fontId="1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right" wrapText="1"/>
    </xf>
    <xf numFmtId="43" fontId="1" fillId="0" borderId="0" xfId="1" applyFont="1" applyFill="1" applyBorder="1" applyAlignment="1">
      <alignment horizontal="center" wrapText="1"/>
    </xf>
    <xf numFmtId="43" fontId="0" fillId="0" borderId="3" xfId="1" applyFont="1" applyBorder="1"/>
    <xf numFmtId="43" fontId="8" fillId="0" borderId="0" xfId="1" applyFont="1"/>
    <xf numFmtId="0" fontId="8" fillId="0" borderId="0" xfId="0" applyFont="1"/>
    <xf numFmtId="43" fontId="1" fillId="0" borderId="1" xfId="1" applyFont="1" applyBorder="1"/>
    <xf numFmtId="43" fontId="1" fillId="0" borderId="4" xfId="1" applyFont="1" applyBorder="1"/>
    <xf numFmtId="43" fontId="1" fillId="0" borderId="0" xfId="1" applyFont="1" applyBorder="1"/>
    <xf numFmtId="43" fontId="1" fillId="0" borderId="0" xfId="1" applyFont="1"/>
    <xf numFmtId="43" fontId="8" fillId="0" borderId="1" xfId="1" applyFont="1" applyBorder="1"/>
    <xf numFmtId="43" fontId="8" fillId="0" borderId="3" xfId="1" applyFont="1" applyBorder="1"/>
    <xf numFmtId="43" fontId="1" fillId="0" borderId="3" xfId="1" applyFont="1" applyBorder="1"/>
    <xf numFmtId="43" fontId="8" fillId="0" borderId="0" xfId="1" applyFont="1" applyBorder="1"/>
    <xf numFmtId="43" fontId="0" fillId="0" borderId="0" xfId="1" applyFont="1" applyBorder="1"/>
    <xf numFmtId="43" fontId="0" fillId="0" borderId="4" xfId="1" applyFont="1" applyBorder="1"/>
    <xf numFmtId="0" fontId="0" fillId="2" borderId="0" xfId="0" applyFill="1"/>
    <xf numFmtId="43" fontId="8" fillId="0" borderId="0" xfId="1" applyFont="1" applyFill="1"/>
    <xf numFmtId="43" fontId="0" fillId="0" borderId="0" xfId="1" applyFont="1" applyFill="1"/>
    <xf numFmtId="43" fontId="8" fillId="0" borderId="0" xfId="1" applyFont="1" applyFill="1" applyBorder="1"/>
    <xf numFmtId="43" fontId="0" fillId="0" borderId="0" xfId="0" applyNumberFormat="1"/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6" fontId="10" fillId="0" borderId="0" xfId="0" applyNumberFormat="1" applyFont="1"/>
    <xf numFmtId="0" fontId="9" fillId="0" borderId="0" xfId="0" applyFont="1"/>
    <xf numFmtId="0" fontId="4" fillId="0" borderId="0" xfId="0" applyFont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79B7D-B56B-D940-874C-BF86D054304C}">
  <dimension ref="B1:E57"/>
  <sheetViews>
    <sheetView tabSelected="1" workbookViewId="0">
      <selection activeCell="A3" sqref="A3:XFD4"/>
    </sheetView>
  </sheetViews>
  <sheetFormatPr defaultColWidth="11.42578125" defaultRowHeight="15" x14ac:dyDescent="0.25"/>
  <cols>
    <col min="1" max="1" width="3.140625" customWidth="1"/>
    <col min="2" max="2" width="27.28515625" customWidth="1"/>
    <col min="3" max="3" width="13.140625" style="14" bestFit="1" customWidth="1"/>
    <col min="4" max="4" width="13.7109375" style="6" customWidth="1"/>
  </cols>
  <sheetData>
    <row r="1" spans="2:5" ht="18" x14ac:dyDescent="0.25">
      <c r="B1" s="37" t="s">
        <v>60</v>
      </c>
      <c r="C1" s="37"/>
      <c r="D1" s="37"/>
      <c r="E1" s="35"/>
    </row>
    <row r="2" spans="2:5" ht="18" x14ac:dyDescent="0.25">
      <c r="B2" s="36" t="s">
        <v>65</v>
      </c>
      <c r="C2" s="36"/>
      <c r="D2" s="36"/>
      <c r="E2" s="34"/>
    </row>
    <row r="3" spans="2:5" ht="24.75" x14ac:dyDescent="0.25">
      <c r="B3" s="32"/>
      <c r="C3" s="7" t="s">
        <v>65</v>
      </c>
      <c r="D3" s="7" t="s">
        <v>66</v>
      </c>
    </row>
    <row r="4" spans="2:5" x14ac:dyDescent="0.25">
      <c r="B4" s="31" t="s">
        <v>12</v>
      </c>
    </row>
    <row r="5" spans="2:5" x14ac:dyDescent="0.25">
      <c r="B5" s="31" t="s">
        <v>13</v>
      </c>
      <c r="C5" s="27">
        <v>120000</v>
      </c>
      <c r="D5" s="14">
        <f>C5/12</f>
        <v>10000</v>
      </c>
    </row>
    <row r="6" spans="2:5" x14ac:dyDescent="0.25">
      <c r="B6" s="31" t="s">
        <v>14</v>
      </c>
      <c r="D6" s="14">
        <f t="shared" ref="D6:D7" si="0">C6/12</f>
        <v>0</v>
      </c>
    </row>
    <row r="7" spans="2:5" x14ac:dyDescent="0.25">
      <c r="B7" s="31" t="s">
        <v>15</v>
      </c>
      <c r="C7" s="14">
        <v>500</v>
      </c>
      <c r="D7" s="14">
        <f t="shared" si="0"/>
        <v>41.666666666666664</v>
      </c>
    </row>
    <row r="8" spans="2:5" x14ac:dyDescent="0.25">
      <c r="B8" s="31" t="s">
        <v>18</v>
      </c>
      <c r="C8" s="22">
        <f>SUM(C5:C7)</f>
        <v>120500</v>
      </c>
      <c r="D8" s="22">
        <f t="shared" ref="D8:D13" si="1">C8/12</f>
        <v>10041.666666666666</v>
      </c>
    </row>
    <row r="9" spans="2:5" x14ac:dyDescent="0.25">
      <c r="B9" s="31" t="s">
        <v>19</v>
      </c>
      <c r="C9" s="33">
        <v>90000</v>
      </c>
      <c r="D9" s="6">
        <f t="shared" si="1"/>
        <v>7500</v>
      </c>
    </row>
    <row r="10" spans="2:5" x14ac:dyDescent="0.25">
      <c r="B10" s="31" t="s">
        <v>20</v>
      </c>
      <c r="D10" s="6">
        <f t="shared" si="1"/>
        <v>0</v>
      </c>
    </row>
    <row r="11" spans="2:5" x14ac:dyDescent="0.25">
      <c r="B11" s="31" t="s">
        <v>21</v>
      </c>
      <c r="C11" s="4">
        <f t="shared" ref="C11" si="2">(C9)+(C10)</f>
        <v>90000</v>
      </c>
      <c r="D11" s="13">
        <f t="shared" si="1"/>
        <v>7500</v>
      </c>
    </row>
    <row r="12" spans="2:5" x14ac:dyDescent="0.25">
      <c r="B12" s="31" t="s">
        <v>22</v>
      </c>
      <c r="C12" s="4">
        <f>(C8)+(C11)</f>
        <v>210500</v>
      </c>
      <c r="D12" s="25">
        <f t="shared" si="1"/>
        <v>17541.666666666668</v>
      </c>
    </row>
    <row r="13" spans="2:5" x14ac:dyDescent="0.25">
      <c r="B13" s="31" t="s">
        <v>23</v>
      </c>
      <c r="C13" s="4">
        <f t="shared" ref="C13" si="3">(C12)-(0)</f>
        <v>210500</v>
      </c>
      <c r="D13" s="13">
        <f t="shared" si="1"/>
        <v>17541.666666666668</v>
      </c>
    </row>
    <row r="14" spans="2:5" x14ac:dyDescent="0.25">
      <c r="B14" s="31" t="s">
        <v>24</v>
      </c>
    </row>
    <row r="15" spans="2:5" x14ac:dyDescent="0.25">
      <c r="B15" s="31" t="s">
        <v>25</v>
      </c>
    </row>
    <row r="16" spans="2:5" x14ac:dyDescent="0.25">
      <c r="B16" s="31" t="s">
        <v>26</v>
      </c>
      <c r="C16" s="27">
        <v>3000</v>
      </c>
      <c r="D16" s="28">
        <f>C16/12</f>
        <v>250</v>
      </c>
    </row>
    <row r="17" spans="2:4" x14ac:dyDescent="0.25">
      <c r="B17" s="31" t="s">
        <v>27</v>
      </c>
      <c r="C17" s="22">
        <f>C16</f>
        <v>3000</v>
      </c>
      <c r="D17" s="8">
        <f>D16</f>
        <v>250</v>
      </c>
    </row>
    <row r="18" spans="2:4" x14ac:dyDescent="0.25">
      <c r="B18" s="31" t="s">
        <v>28</v>
      </c>
    </row>
    <row r="19" spans="2:4" x14ac:dyDescent="0.25">
      <c r="B19" s="31" t="s">
        <v>29</v>
      </c>
      <c r="C19" s="14">
        <v>2000</v>
      </c>
      <c r="D19" s="6">
        <f>C19/12</f>
        <v>166.66666666666666</v>
      </c>
    </row>
    <row r="20" spans="2:4" x14ac:dyDescent="0.25">
      <c r="B20" s="31" t="s">
        <v>30</v>
      </c>
      <c r="C20" s="14">
        <v>65</v>
      </c>
      <c r="D20" s="6">
        <f>C20/12</f>
        <v>5.416666666666667</v>
      </c>
    </row>
    <row r="21" spans="2:4" ht="23.25" x14ac:dyDescent="0.25">
      <c r="B21" s="31" t="s">
        <v>31</v>
      </c>
      <c r="C21" s="22">
        <f>C19+C20</f>
        <v>2065</v>
      </c>
      <c r="D21" s="8">
        <f>D19+D20</f>
        <v>172.08333333333331</v>
      </c>
    </row>
    <row r="22" spans="2:4" x14ac:dyDescent="0.25">
      <c r="B22" s="31"/>
      <c r="C22" s="18"/>
      <c r="D22" s="9"/>
    </row>
    <row r="23" spans="2:4" x14ac:dyDescent="0.25">
      <c r="B23" s="31" t="s">
        <v>68</v>
      </c>
      <c r="C23" s="29">
        <v>300</v>
      </c>
      <c r="D23" s="24">
        <f>C23/12</f>
        <v>25</v>
      </c>
    </row>
    <row r="24" spans="2:4" x14ac:dyDescent="0.25">
      <c r="B24" s="31" t="s">
        <v>32</v>
      </c>
      <c r="C24" s="14">
        <v>400</v>
      </c>
      <c r="D24" s="24">
        <f t="shared" ref="D24:D29" si="4">C24/12</f>
        <v>33.333333333333336</v>
      </c>
    </row>
    <row r="25" spans="2:4" ht="23.25" x14ac:dyDescent="0.25">
      <c r="B25" s="31" t="s">
        <v>33</v>
      </c>
      <c r="C25" s="27">
        <v>500</v>
      </c>
      <c r="D25" s="24">
        <f t="shared" si="4"/>
        <v>41.666666666666664</v>
      </c>
    </row>
    <row r="26" spans="2:4" x14ac:dyDescent="0.25">
      <c r="B26" s="31" t="s">
        <v>34</v>
      </c>
      <c r="C26" s="14">
        <v>80</v>
      </c>
      <c r="D26" s="24">
        <f t="shared" si="4"/>
        <v>6.666666666666667</v>
      </c>
    </row>
    <row r="27" spans="2:4" x14ac:dyDescent="0.25">
      <c r="B27" s="31" t="s">
        <v>35</v>
      </c>
      <c r="C27" s="14">
        <v>40</v>
      </c>
      <c r="D27" s="24">
        <f t="shared" si="4"/>
        <v>3.3333333333333335</v>
      </c>
    </row>
    <row r="28" spans="2:4" x14ac:dyDescent="0.25">
      <c r="B28" s="31" t="s">
        <v>36</v>
      </c>
      <c r="C28" s="14">
        <v>800</v>
      </c>
      <c r="D28" s="24">
        <f t="shared" si="4"/>
        <v>66.666666666666671</v>
      </c>
    </row>
    <row r="29" spans="2:4" x14ac:dyDescent="0.25">
      <c r="B29" s="31" t="s">
        <v>37</v>
      </c>
      <c r="C29" s="14">
        <v>1250</v>
      </c>
      <c r="D29" s="24">
        <f t="shared" si="4"/>
        <v>104.16666666666667</v>
      </c>
    </row>
    <row r="30" spans="2:4" x14ac:dyDescent="0.25">
      <c r="B30" s="31" t="s">
        <v>38</v>
      </c>
      <c r="C30" s="22">
        <f>SUM(C23:C29)</f>
        <v>3370</v>
      </c>
      <c r="D30" s="8">
        <f>SUM(D23:D29)</f>
        <v>280.83333333333337</v>
      </c>
    </row>
    <row r="31" spans="2:4" x14ac:dyDescent="0.25">
      <c r="B31" s="31"/>
      <c r="C31" s="18"/>
      <c r="D31" s="9"/>
    </row>
    <row r="32" spans="2:4" x14ac:dyDescent="0.25">
      <c r="B32" s="31" t="s">
        <v>39</v>
      </c>
      <c r="C32" s="27">
        <v>3000</v>
      </c>
      <c r="D32" s="6">
        <f>C32/12</f>
        <v>250</v>
      </c>
    </row>
    <row r="33" spans="2:4" x14ac:dyDescent="0.25">
      <c r="B33" s="31" t="s">
        <v>40</v>
      </c>
      <c r="C33" s="14">
        <v>5000</v>
      </c>
      <c r="D33" s="6">
        <f>C33/12</f>
        <v>416.66666666666669</v>
      </c>
    </row>
    <row r="34" spans="2:4" ht="23.25" x14ac:dyDescent="0.25">
      <c r="B34" s="31" t="s">
        <v>41</v>
      </c>
      <c r="C34" s="22">
        <f>C32+C33</f>
        <v>8000</v>
      </c>
      <c r="D34" s="8">
        <f>D32+D33</f>
        <v>666.66666666666674</v>
      </c>
    </row>
    <row r="35" spans="2:4" x14ac:dyDescent="0.25">
      <c r="B35" s="31" t="s">
        <v>69</v>
      </c>
    </row>
    <row r="36" spans="2:4" x14ac:dyDescent="0.25">
      <c r="B36" s="31" t="s">
        <v>70</v>
      </c>
      <c r="C36" s="23">
        <v>985878</v>
      </c>
      <c r="D36" s="6">
        <f>C36/12</f>
        <v>82156.5</v>
      </c>
    </row>
    <row r="37" spans="2:4" x14ac:dyDescent="0.25">
      <c r="B37" s="31" t="s">
        <v>71</v>
      </c>
      <c r="C37" s="22">
        <f>C36</f>
        <v>985878</v>
      </c>
      <c r="D37" s="8">
        <f>D36</f>
        <v>82156.5</v>
      </c>
    </row>
    <row r="38" spans="2:4" x14ac:dyDescent="0.25">
      <c r="B38" s="31" t="s">
        <v>42</v>
      </c>
    </row>
    <row r="39" spans="2:4" x14ac:dyDescent="0.25">
      <c r="B39" s="31" t="s">
        <v>43</v>
      </c>
      <c r="C39" s="14">
        <v>1740</v>
      </c>
      <c r="D39" s="6">
        <f>C39/12</f>
        <v>145</v>
      </c>
    </row>
    <row r="40" spans="2:4" x14ac:dyDescent="0.25">
      <c r="B40" s="31" t="s">
        <v>44</v>
      </c>
      <c r="C40" s="22">
        <f>C39</f>
        <v>1740</v>
      </c>
      <c r="D40" s="8">
        <f>D39</f>
        <v>145</v>
      </c>
    </row>
    <row r="41" spans="2:4" x14ac:dyDescent="0.25">
      <c r="B41" s="31" t="s">
        <v>45</v>
      </c>
    </row>
    <row r="42" spans="2:4" x14ac:dyDescent="0.25">
      <c r="B42" s="31" t="s">
        <v>46</v>
      </c>
      <c r="C42" s="14">
        <v>5400</v>
      </c>
      <c r="D42" s="6">
        <f>C42/12</f>
        <v>450</v>
      </c>
    </row>
    <row r="43" spans="2:4" x14ac:dyDescent="0.25">
      <c r="B43" s="31" t="s">
        <v>47</v>
      </c>
      <c r="C43" s="22">
        <f>C42</f>
        <v>5400</v>
      </c>
      <c r="D43" s="8">
        <f>D42</f>
        <v>450</v>
      </c>
    </row>
    <row r="44" spans="2:4" x14ac:dyDescent="0.25">
      <c r="B44" s="31"/>
      <c r="C44" s="18"/>
      <c r="D44" s="9"/>
    </row>
    <row r="45" spans="2:4" x14ac:dyDescent="0.25">
      <c r="B45" s="31" t="s">
        <v>48</v>
      </c>
      <c r="C45" s="14">
        <f>(33.12*12)+70</f>
        <v>467.43999999999994</v>
      </c>
      <c r="D45" s="6">
        <f>C45/12</f>
        <v>38.953333333333326</v>
      </c>
    </row>
    <row r="46" spans="2:4" x14ac:dyDescent="0.25">
      <c r="B46" s="31" t="s">
        <v>49</v>
      </c>
      <c r="C46" s="14">
        <f>427.13+12</f>
        <v>439.13</v>
      </c>
      <c r="D46" s="6">
        <f t="shared" ref="D46:D48" si="5">C46/12</f>
        <v>36.594166666666666</v>
      </c>
    </row>
    <row r="47" spans="2:4" ht="23.25" x14ac:dyDescent="0.25">
      <c r="B47" s="31" t="s">
        <v>50</v>
      </c>
      <c r="C47" s="14">
        <f>333.33*12</f>
        <v>3999.96</v>
      </c>
      <c r="D47" s="6">
        <f t="shared" si="5"/>
        <v>333.33</v>
      </c>
    </row>
    <row r="48" spans="2:4" x14ac:dyDescent="0.25">
      <c r="B48" s="31" t="s">
        <v>51</v>
      </c>
      <c r="C48" s="14">
        <f>5583.33*12</f>
        <v>66999.959999999992</v>
      </c>
      <c r="D48" s="6">
        <f t="shared" si="5"/>
        <v>5583.329999999999</v>
      </c>
    </row>
    <row r="49" spans="2:4" x14ac:dyDescent="0.25">
      <c r="B49" s="31" t="s">
        <v>52</v>
      </c>
      <c r="C49" s="22">
        <f>SUM(C45:C48)</f>
        <v>71906.489999999991</v>
      </c>
      <c r="D49" s="8">
        <f>SUM(D45:D48)</f>
        <v>5992.2074999999986</v>
      </c>
    </row>
    <row r="50" spans="2:4" x14ac:dyDescent="0.25">
      <c r="B50" s="31"/>
      <c r="C50" s="18"/>
    </row>
    <row r="51" spans="2:4" x14ac:dyDescent="0.25">
      <c r="B51" s="31" t="s">
        <v>53</v>
      </c>
    </row>
    <row r="52" spans="2:4" x14ac:dyDescent="0.25">
      <c r="B52" s="31" t="s">
        <v>54</v>
      </c>
      <c r="C52" s="14">
        <v>350</v>
      </c>
      <c r="D52" s="6">
        <f>C52/12</f>
        <v>29.166666666666668</v>
      </c>
    </row>
    <row r="53" spans="2:4" x14ac:dyDescent="0.25">
      <c r="B53" s="31" t="s">
        <v>55</v>
      </c>
      <c r="C53" s="17">
        <f>C52</f>
        <v>350</v>
      </c>
      <c r="D53" s="8">
        <f>D52</f>
        <v>29.166666666666668</v>
      </c>
    </row>
    <row r="54" spans="2:4" x14ac:dyDescent="0.25">
      <c r="B54" s="31" t="s">
        <v>56</v>
      </c>
      <c r="C54" s="4">
        <f>((((((C17)+(C30))+(C34))+(C40))+(C43))+(C49))+(C53)+C37+C21</f>
        <v>1081709.49</v>
      </c>
      <c r="D54" s="8">
        <f>C54/12</f>
        <v>90142.457500000004</v>
      </c>
    </row>
    <row r="55" spans="2:4" x14ac:dyDescent="0.25">
      <c r="B55" s="31" t="s">
        <v>57</v>
      </c>
      <c r="C55" s="4">
        <f>(C13)-(C54)</f>
        <v>-871209.49</v>
      </c>
      <c r="D55" s="8">
        <f>C55/12</f>
        <v>-72600.790833333333</v>
      </c>
    </row>
    <row r="56" spans="2:4" x14ac:dyDescent="0.25">
      <c r="B56" s="31" t="s">
        <v>58</v>
      </c>
      <c r="C56" s="5">
        <f t="shared" ref="C56" si="6">(C55)+(0)</f>
        <v>-871209.49</v>
      </c>
      <c r="D56" s="8">
        <f>C56/12</f>
        <v>-72600.790833333333</v>
      </c>
    </row>
    <row r="57" spans="2:4" x14ac:dyDescent="0.25">
      <c r="B57" s="31"/>
    </row>
  </sheetData>
  <mergeCells count="2">
    <mergeCell ref="B2:D2"/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4"/>
  <sheetViews>
    <sheetView zoomScale="161" workbookViewId="0">
      <pane ySplit="5" topLeftCell="A11" activePane="bottomLeft" state="frozen"/>
      <selection pane="bottomLeft" activeCell="A4" sqref="A1:A1048576"/>
    </sheetView>
  </sheetViews>
  <sheetFormatPr defaultColWidth="8.85546875" defaultRowHeight="15" x14ac:dyDescent="0.25"/>
  <cols>
    <col min="1" max="1" width="27.28515625" customWidth="1"/>
    <col min="2" max="5" width="10.28515625" customWidth="1"/>
    <col min="6" max="6" width="9.42578125" customWidth="1"/>
    <col min="7" max="11" width="8.7109375" customWidth="1"/>
    <col min="12" max="13" width="9.42578125" customWidth="1"/>
    <col min="14" max="14" width="1.7109375" customWidth="1"/>
    <col min="15" max="15" width="10.28515625" customWidth="1"/>
    <col min="16" max="17" width="10.42578125" style="14" bestFit="1" customWidth="1"/>
    <col min="18" max="18" width="8.85546875" style="15"/>
    <col min="19" max="19" width="10.42578125" style="14" bestFit="1" customWidth="1"/>
    <col min="20" max="20" width="13.7109375" style="6" customWidth="1"/>
    <col min="21" max="21" width="9.140625" bestFit="1" customWidth="1"/>
  </cols>
  <sheetData>
    <row r="1" spans="1:22" ht="18" x14ac:dyDescent="0.25">
      <c r="A1" s="37" t="s">
        <v>60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S1" s="37" t="s">
        <v>60</v>
      </c>
      <c r="T1" s="37"/>
      <c r="U1" s="37"/>
      <c r="V1" s="37"/>
    </row>
    <row r="2" spans="1:22" ht="18" x14ac:dyDescent="0.25">
      <c r="A2" s="37" t="s">
        <v>61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S2" s="36" t="s">
        <v>65</v>
      </c>
      <c r="T2" s="36"/>
      <c r="U2" s="36"/>
      <c r="V2" s="36"/>
    </row>
    <row r="3" spans="1:22" x14ac:dyDescent="0.25">
      <c r="A3" s="40" t="s">
        <v>62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S3" s="41"/>
      <c r="T3" s="41"/>
      <c r="U3" s="41"/>
      <c r="V3" s="41"/>
    </row>
    <row r="5" spans="1:22" ht="30.95" customHeight="1" x14ac:dyDescent="0.25">
      <c r="A5" s="32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0"/>
      <c r="O5" s="1" t="s">
        <v>67</v>
      </c>
      <c r="P5" s="7" t="s">
        <v>63</v>
      </c>
      <c r="Q5" s="7" t="s">
        <v>64</v>
      </c>
      <c r="R5" s="12"/>
      <c r="S5" s="7" t="s">
        <v>65</v>
      </c>
      <c r="T5" s="7" t="s">
        <v>66</v>
      </c>
      <c r="U5" s="12" t="s">
        <v>72</v>
      </c>
    </row>
    <row r="6" spans="1:22" x14ac:dyDescent="0.25">
      <c r="A6" s="31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22" x14ac:dyDescent="0.25">
      <c r="A7" s="31" t="s">
        <v>13</v>
      </c>
      <c r="B7" s="3">
        <f>3040.06</f>
        <v>3040.06</v>
      </c>
      <c r="C7" s="3">
        <f>586.99</f>
        <v>586.99</v>
      </c>
      <c r="D7" s="3">
        <f>842.57</f>
        <v>842.57</v>
      </c>
      <c r="E7" s="3">
        <f>2932.64</f>
        <v>2932.64</v>
      </c>
      <c r="F7" s="3">
        <f>2347.73</f>
        <v>2347.73</v>
      </c>
      <c r="G7" s="3">
        <f>1524.25</f>
        <v>1524.25</v>
      </c>
      <c r="H7" s="3">
        <f>653.3</f>
        <v>653.29999999999995</v>
      </c>
      <c r="I7" s="3">
        <f>853.3</f>
        <v>853.3</v>
      </c>
      <c r="J7" s="3">
        <f>2669.72</f>
        <v>2669.72</v>
      </c>
      <c r="K7" s="3">
        <f>1198.44</f>
        <v>1198.44</v>
      </c>
      <c r="L7" s="3">
        <f>23699.41</f>
        <v>23699.41</v>
      </c>
      <c r="M7" s="3">
        <f>76526.26</f>
        <v>76526.259999999995</v>
      </c>
      <c r="N7" s="3"/>
      <c r="O7" s="3">
        <f t="shared" ref="O7:O17" si="0">(((((((((((B7)+(C7))+(D7))+(E7))+(F7))+(G7))+(H7))+(I7))+(J7))+(K7))+(L7))+(M7)</f>
        <v>116874.66999999998</v>
      </c>
      <c r="P7" s="14">
        <f t="shared" ref="P7:P17" si="1">O7/12</f>
        <v>9739.555833333332</v>
      </c>
      <c r="Q7" s="14">
        <f>SUM(K7:M7)/3</f>
        <v>33808.03666666666</v>
      </c>
      <c r="S7" s="27">
        <v>120000</v>
      </c>
      <c r="T7" s="14">
        <f>S7/12</f>
        <v>10000</v>
      </c>
      <c r="U7" s="26" t="s">
        <v>74</v>
      </c>
    </row>
    <row r="8" spans="1:22" x14ac:dyDescent="0.25">
      <c r="A8" s="31" t="s">
        <v>14</v>
      </c>
      <c r="B8" s="2"/>
      <c r="C8" s="2"/>
      <c r="D8" s="2"/>
      <c r="E8" s="3">
        <f>92.55</f>
        <v>92.55</v>
      </c>
      <c r="F8" s="3">
        <f>30</f>
        <v>30</v>
      </c>
      <c r="G8" s="3">
        <f>30</f>
        <v>30</v>
      </c>
      <c r="H8" s="2"/>
      <c r="I8" s="2"/>
      <c r="J8" s="2"/>
      <c r="K8" s="2"/>
      <c r="L8" s="2"/>
      <c r="M8" s="2"/>
      <c r="N8" s="2"/>
      <c r="O8" s="3">
        <f t="shared" si="0"/>
        <v>152.55000000000001</v>
      </c>
      <c r="P8" s="14">
        <f t="shared" si="1"/>
        <v>12.7125</v>
      </c>
      <c r="T8" s="14">
        <f t="shared" ref="T8:T11" si="2">S8/12</f>
        <v>0</v>
      </c>
    </row>
    <row r="9" spans="1:22" x14ac:dyDescent="0.25">
      <c r="A9" s="31" t="s">
        <v>15</v>
      </c>
      <c r="B9" s="2"/>
      <c r="C9" s="2"/>
      <c r="D9" s="2"/>
      <c r="E9" s="3">
        <f>174.77</f>
        <v>174.77</v>
      </c>
      <c r="F9" s="2"/>
      <c r="G9" s="2"/>
      <c r="H9" s="2"/>
      <c r="I9" s="2"/>
      <c r="J9" s="2"/>
      <c r="K9" s="3">
        <f>183.1</f>
        <v>183.1</v>
      </c>
      <c r="L9" s="2"/>
      <c r="M9" s="3">
        <f>153.49</f>
        <v>153.49</v>
      </c>
      <c r="N9" s="3"/>
      <c r="O9" s="3">
        <f t="shared" si="0"/>
        <v>511.36</v>
      </c>
      <c r="P9" s="14">
        <f t="shared" si="1"/>
        <v>42.613333333333337</v>
      </c>
      <c r="Q9" s="14">
        <f>SUM(K9:M9)/3</f>
        <v>112.19666666666667</v>
      </c>
      <c r="S9" s="14">
        <v>500</v>
      </c>
      <c r="T9" s="14">
        <f t="shared" si="2"/>
        <v>41.666666666666664</v>
      </c>
    </row>
    <row r="10" spans="1:22" x14ac:dyDescent="0.25">
      <c r="A10" s="31" t="s">
        <v>16</v>
      </c>
      <c r="B10" s="2"/>
      <c r="C10" s="2"/>
      <c r="D10" s="3">
        <f>98.73</f>
        <v>98.73</v>
      </c>
      <c r="E10" s="2"/>
      <c r="F10" s="3">
        <f>76.74</f>
        <v>76.739999999999995</v>
      </c>
      <c r="G10" s="2"/>
      <c r="H10" s="2"/>
      <c r="I10" s="2"/>
      <c r="J10" s="2"/>
      <c r="K10" s="2"/>
      <c r="L10" s="3">
        <f>85.38</f>
        <v>85.38</v>
      </c>
      <c r="M10" s="2"/>
      <c r="N10" s="2"/>
      <c r="O10" s="3">
        <f t="shared" si="0"/>
        <v>260.85000000000002</v>
      </c>
      <c r="P10" s="14">
        <f t="shared" si="1"/>
        <v>21.737500000000001</v>
      </c>
      <c r="Q10" s="14">
        <f>SUM(K10:M10)/3</f>
        <v>28.459999999999997</v>
      </c>
      <c r="T10" s="14">
        <f t="shared" si="2"/>
        <v>0</v>
      </c>
    </row>
    <row r="11" spans="1:22" x14ac:dyDescent="0.25">
      <c r="A11" s="31" t="s">
        <v>17</v>
      </c>
      <c r="B11" s="2"/>
      <c r="C11" s="2"/>
      <c r="D11" s="2"/>
      <c r="E11" s="2"/>
      <c r="F11" s="3">
        <f>52968.08</f>
        <v>52968.08</v>
      </c>
      <c r="G11" s="2"/>
      <c r="H11" s="2"/>
      <c r="I11" s="2"/>
      <c r="J11" s="2"/>
      <c r="K11" s="2"/>
      <c r="L11" s="2"/>
      <c r="M11" s="2"/>
      <c r="N11" s="2"/>
      <c r="O11" s="3">
        <f t="shared" si="0"/>
        <v>52968.08</v>
      </c>
      <c r="P11" s="14">
        <f t="shared" si="1"/>
        <v>4414.0066666666671</v>
      </c>
      <c r="T11" s="14">
        <f t="shared" si="2"/>
        <v>0</v>
      </c>
    </row>
    <row r="12" spans="1:22" x14ac:dyDescent="0.25">
      <c r="A12" s="31" t="s">
        <v>18</v>
      </c>
      <c r="B12" s="4">
        <f t="shared" ref="B12:M12" si="3">((((B7)+(B8))+(B9))+(B10))+(B11)</f>
        <v>3040.06</v>
      </c>
      <c r="C12" s="4">
        <f t="shared" si="3"/>
        <v>586.99</v>
      </c>
      <c r="D12" s="4">
        <f t="shared" si="3"/>
        <v>941.30000000000007</v>
      </c>
      <c r="E12" s="4">
        <f t="shared" si="3"/>
        <v>3199.96</v>
      </c>
      <c r="F12" s="4">
        <f t="shared" si="3"/>
        <v>55422.55</v>
      </c>
      <c r="G12" s="4">
        <f t="shared" si="3"/>
        <v>1554.25</v>
      </c>
      <c r="H12" s="4">
        <f t="shared" si="3"/>
        <v>653.29999999999995</v>
      </c>
      <c r="I12" s="4">
        <f t="shared" si="3"/>
        <v>853.3</v>
      </c>
      <c r="J12" s="4">
        <f t="shared" si="3"/>
        <v>2669.72</v>
      </c>
      <c r="K12" s="4">
        <f t="shared" si="3"/>
        <v>1381.54</v>
      </c>
      <c r="L12" s="4">
        <f t="shared" si="3"/>
        <v>23784.79</v>
      </c>
      <c r="M12" s="4">
        <f t="shared" si="3"/>
        <v>76679.75</v>
      </c>
      <c r="N12" s="11"/>
      <c r="O12" s="4">
        <f t="shared" si="0"/>
        <v>170767.51</v>
      </c>
      <c r="P12" s="22">
        <f t="shared" si="1"/>
        <v>14230.625833333334</v>
      </c>
      <c r="Q12" s="22">
        <f t="shared" ref="Q12:Q17" si="4">SUM(K12:M12)/3</f>
        <v>33948.693333333336</v>
      </c>
      <c r="S12" s="22">
        <f>SUM(S7:S11)</f>
        <v>120500</v>
      </c>
      <c r="T12" s="22">
        <f t="shared" ref="T12:T17" si="5">S12/12</f>
        <v>10041.666666666666</v>
      </c>
    </row>
    <row r="13" spans="1:22" x14ac:dyDescent="0.25">
      <c r="A13" s="31" t="s">
        <v>19</v>
      </c>
      <c r="B13" s="3">
        <f>101.74</f>
        <v>101.74</v>
      </c>
      <c r="C13" s="2"/>
      <c r="D13" s="3">
        <f>822.76</f>
        <v>822.76</v>
      </c>
      <c r="E13" s="3">
        <f>539.66</f>
        <v>539.66</v>
      </c>
      <c r="F13" s="3">
        <f>1205.04</f>
        <v>1205.04</v>
      </c>
      <c r="G13" s="3">
        <f>1194.5</f>
        <v>1194.5</v>
      </c>
      <c r="H13" s="3">
        <f>3035.73</f>
        <v>3035.73</v>
      </c>
      <c r="I13" s="3">
        <f>4163.13</f>
        <v>4163.13</v>
      </c>
      <c r="J13" s="3">
        <f>4498.14</f>
        <v>4498.1400000000003</v>
      </c>
      <c r="K13" s="3">
        <f>5714.27</f>
        <v>5714.27</v>
      </c>
      <c r="L13" s="3">
        <f>6713.45</f>
        <v>6713.45</v>
      </c>
      <c r="M13" s="3">
        <f>7661.77</f>
        <v>7661.77</v>
      </c>
      <c r="N13" s="3"/>
      <c r="O13" s="3">
        <f t="shared" si="0"/>
        <v>35650.19</v>
      </c>
      <c r="P13" s="14">
        <f t="shared" si="1"/>
        <v>2970.8491666666669</v>
      </c>
      <c r="Q13" s="14">
        <f t="shared" si="4"/>
        <v>6696.4966666666669</v>
      </c>
      <c r="T13" s="6">
        <f t="shared" si="5"/>
        <v>0</v>
      </c>
      <c r="U13" s="26" t="s">
        <v>73</v>
      </c>
    </row>
    <row r="14" spans="1:22" x14ac:dyDescent="0.25">
      <c r="A14" s="31" t="s">
        <v>20</v>
      </c>
      <c r="B14" s="3">
        <f>-2265.2</f>
        <v>-2265.1999999999998</v>
      </c>
      <c r="C14" s="3">
        <f>-291.09</f>
        <v>-291.08999999999997</v>
      </c>
      <c r="D14" s="2"/>
      <c r="E14" s="3">
        <f>-2128.35</f>
        <v>-2128.35</v>
      </c>
      <c r="F14" s="3">
        <f>-403.9</f>
        <v>-403.9</v>
      </c>
      <c r="G14" s="2"/>
      <c r="H14" s="3">
        <f>-471.1</f>
        <v>-471.1</v>
      </c>
      <c r="I14" s="3">
        <f>-164.15</f>
        <v>-164.15</v>
      </c>
      <c r="J14" s="3">
        <f>-112.7</f>
        <v>-112.7</v>
      </c>
      <c r="K14" s="3">
        <f>686</f>
        <v>686</v>
      </c>
      <c r="L14" s="3">
        <f>458.85</f>
        <v>458.85</v>
      </c>
      <c r="M14" s="3">
        <f>-695.1</f>
        <v>-695.1</v>
      </c>
      <c r="N14" s="3"/>
      <c r="O14" s="3">
        <f t="shared" si="0"/>
        <v>-5386.7399999999989</v>
      </c>
      <c r="P14" s="14">
        <f t="shared" si="1"/>
        <v>-448.89499999999992</v>
      </c>
      <c r="Q14" s="14">
        <f t="shared" si="4"/>
        <v>149.91666666666663</v>
      </c>
      <c r="T14" s="6">
        <f t="shared" si="5"/>
        <v>0</v>
      </c>
      <c r="U14" s="26" t="s">
        <v>73</v>
      </c>
    </row>
    <row r="15" spans="1:22" x14ac:dyDescent="0.25">
      <c r="A15" s="31" t="s">
        <v>21</v>
      </c>
      <c r="B15" s="4">
        <f t="shared" ref="B15:M15" si="6">(B13)+(B14)</f>
        <v>-2163.46</v>
      </c>
      <c r="C15" s="4">
        <f t="shared" si="6"/>
        <v>-291.08999999999997</v>
      </c>
      <c r="D15" s="4">
        <f t="shared" si="6"/>
        <v>822.76</v>
      </c>
      <c r="E15" s="4">
        <f t="shared" si="6"/>
        <v>-1588.69</v>
      </c>
      <c r="F15" s="4">
        <f t="shared" si="6"/>
        <v>801.14</v>
      </c>
      <c r="G15" s="4">
        <f t="shared" si="6"/>
        <v>1194.5</v>
      </c>
      <c r="H15" s="4">
        <f t="shared" si="6"/>
        <v>2564.63</v>
      </c>
      <c r="I15" s="4">
        <f t="shared" si="6"/>
        <v>3998.98</v>
      </c>
      <c r="J15" s="4">
        <f t="shared" si="6"/>
        <v>4385.4400000000005</v>
      </c>
      <c r="K15" s="4">
        <f t="shared" si="6"/>
        <v>6400.27</v>
      </c>
      <c r="L15" s="4">
        <f t="shared" si="6"/>
        <v>7172.3</v>
      </c>
      <c r="M15" s="4">
        <f t="shared" si="6"/>
        <v>6966.67</v>
      </c>
      <c r="N15" s="11"/>
      <c r="O15" s="4">
        <f t="shared" si="0"/>
        <v>30263.449999999997</v>
      </c>
      <c r="P15" s="17">
        <f t="shared" si="1"/>
        <v>2521.9541666666664</v>
      </c>
      <c r="Q15" s="17">
        <f t="shared" si="4"/>
        <v>6846.413333333333</v>
      </c>
      <c r="S15" s="4">
        <f t="shared" ref="S15" si="7">(S13)+(S14)</f>
        <v>0</v>
      </c>
      <c r="T15" s="13">
        <f t="shared" si="5"/>
        <v>0</v>
      </c>
    </row>
    <row r="16" spans="1:22" x14ac:dyDescent="0.25">
      <c r="A16" s="31" t="s">
        <v>22</v>
      </c>
      <c r="B16" s="4">
        <f t="shared" ref="B16:L16" si="8">(B12)+(B15)</f>
        <v>876.59999999999991</v>
      </c>
      <c r="C16" s="4">
        <f t="shared" si="8"/>
        <v>295.90000000000003</v>
      </c>
      <c r="D16" s="4">
        <f t="shared" si="8"/>
        <v>1764.06</v>
      </c>
      <c r="E16" s="4">
        <f t="shared" si="8"/>
        <v>1611.27</v>
      </c>
      <c r="F16" s="4">
        <f t="shared" si="8"/>
        <v>56223.69</v>
      </c>
      <c r="G16" s="4">
        <f t="shared" si="8"/>
        <v>2748.75</v>
      </c>
      <c r="H16" s="4">
        <f t="shared" si="8"/>
        <v>3217.9300000000003</v>
      </c>
      <c r="I16" s="4">
        <f t="shared" si="8"/>
        <v>4852.28</v>
      </c>
      <c r="J16" s="4">
        <f t="shared" si="8"/>
        <v>7055.16</v>
      </c>
      <c r="K16" s="4">
        <f t="shared" si="8"/>
        <v>7781.81</v>
      </c>
      <c r="L16" s="4">
        <f t="shared" si="8"/>
        <v>30957.09</v>
      </c>
      <c r="M16" s="4">
        <f>(M12)+(M15)</f>
        <v>83646.42</v>
      </c>
      <c r="N16" s="11"/>
      <c r="O16" s="4">
        <f t="shared" si="0"/>
        <v>201030.96000000002</v>
      </c>
      <c r="P16" s="17">
        <f t="shared" si="1"/>
        <v>16752.580000000002</v>
      </c>
      <c r="Q16" s="16">
        <f t="shared" si="4"/>
        <v>40795.106666666667</v>
      </c>
      <c r="S16" s="4">
        <f>(S12)+(S15)</f>
        <v>120500</v>
      </c>
      <c r="T16" s="25">
        <f t="shared" si="5"/>
        <v>10041.666666666666</v>
      </c>
    </row>
    <row r="17" spans="1:21" x14ac:dyDescent="0.25">
      <c r="A17" s="31" t="s">
        <v>23</v>
      </c>
      <c r="B17" s="4">
        <f t="shared" ref="B17:M17" si="9">(B16)-(0)</f>
        <v>876.59999999999991</v>
      </c>
      <c r="C17" s="4">
        <f t="shared" si="9"/>
        <v>295.90000000000003</v>
      </c>
      <c r="D17" s="4">
        <f t="shared" si="9"/>
        <v>1764.06</v>
      </c>
      <c r="E17" s="4">
        <f t="shared" si="9"/>
        <v>1611.27</v>
      </c>
      <c r="F17" s="4">
        <f t="shared" si="9"/>
        <v>56223.69</v>
      </c>
      <c r="G17" s="4">
        <f t="shared" si="9"/>
        <v>2748.75</v>
      </c>
      <c r="H17" s="4">
        <f t="shared" si="9"/>
        <v>3217.9300000000003</v>
      </c>
      <c r="I17" s="4">
        <f t="shared" si="9"/>
        <v>4852.28</v>
      </c>
      <c r="J17" s="4">
        <f t="shared" si="9"/>
        <v>7055.16</v>
      </c>
      <c r="K17" s="4">
        <f t="shared" si="9"/>
        <v>7781.81</v>
      </c>
      <c r="L17" s="4">
        <f t="shared" si="9"/>
        <v>30957.09</v>
      </c>
      <c r="M17" s="4">
        <f t="shared" si="9"/>
        <v>83646.42</v>
      </c>
      <c r="N17" s="11"/>
      <c r="O17" s="4">
        <f t="shared" si="0"/>
        <v>201030.96000000002</v>
      </c>
      <c r="P17" s="18">
        <f t="shared" si="1"/>
        <v>16752.580000000002</v>
      </c>
      <c r="Q17" s="19">
        <f t="shared" si="4"/>
        <v>40795.106666666667</v>
      </c>
      <c r="S17" s="4">
        <f t="shared" ref="S17" si="10">(S16)-(0)</f>
        <v>120500</v>
      </c>
      <c r="T17" s="13">
        <f t="shared" si="5"/>
        <v>10041.666666666666</v>
      </c>
    </row>
    <row r="18" spans="1:21" x14ac:dyDescent="0.25">
      <c r="A18" s="31" t="s">
        <v>24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21" x14ac:dyDescent="0.25">
      <c r="A19" s="31" t="s">
        <v>25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"/>
    </row>
    <row r="20" spans="1:21" x14ac:dyDescent="0.25">
      <c r="A20" s="31" t="s">
        <v>26</v>
      </c>
      <c r="B20" s="2"/>
      <c r="C20" s="2"/>
      <c r="D20" s="2"/>
      <c r="E20" s="3">
        <f>1351.6</f>
        <v>1351.6</v>
      </c>
      <c r="F20" s="3">
        <f>-16.88</f>
        <v>-16.88</v>
      </c>
      <c r="G20" s="2"/>
      <c r="H20" s="2"/>
      <c r="I20" s="2"/>
      <c r="J20" s="3">
        <f>661.37</f>
        <v>661.37</v>
      </c>
      <c r="K20" s="2"/>
      <c r="L20" s="2"/>
      <c r="M20" s="3">
        <f>467.59</f>
        <v>467.59</v>
      </c>
      <c r="N20" s="3"/>
      <c r="O20" s="3">
        <f>(((((((((((B20)+(C20))+(D20))+(E20))+(F20))+(G20))+(H20))+(I20))+(J20))+(K20))+(L20))+(M20)</f>
        <v>2463.6799999999998</v>
      </c>
      <c r="P20" s="20">
        <f>O20/12</f>
        <v>205.30666666666664</v>
      </c>
      <c r="Q20" s="20">
        <f>SUM(K20:M20)/3</f>
        <v>155.86333333333332</v>
      </c>
      <c r="S20" s="27">
        <v>3000</v>
      </c>
      <c r="T20" s="28">
        <f>S20/12</f>
        <v>250</v>
      </c>
      <c r="U20" s="26" t="s">
        <v>75</v>
      </c>
    </row>
    <row r="21" spans="1:21" x14ac:dyDescent="0.25">
      <c r="A21" s="31" t="s">
        <v>27</v>
      </c>
      <c r="B21" s="4">
        <f t="shared" ref="B21:M21" si="11">(B19)+(B20)</f>
        <v>0</v>
      </c>
      <c r="C21" s="4">
        <f t="shared" si="11"/>
        <v>0</v>
      </c>
      <c r="D21" s="4">
        <f t="shared" si="11"/>
        <v>0</v>
      </c>
      <c r="E21" s="4">
        <f t="shared" si="11"/>
        <v>1351.6</v>
      </c>
      <c r="F21" s="4">
        <f t="shared" si="11"/>
        <v>-16.88</v>
      </c>
      <c r="G21" s="4">
        <f t="shared" si="11"/>
        <v>0</v>
      </c>
      <c r="H21" s="4">
        <f t="shared" si="11"/>
        <v>0</v>
      </c>
      <c r="I21" s="4">
        <f t="shared" si="11"/>
        <v>0</v>
      </c>
      <c r="J21" s="4">
        <f t="shared" si="11"/>
        <v>661.37</v>
      </c>
      <c r="K21" s="4">
        <f t="shared" si="11"/>
        <v>0</v>
      </c>
      <c r="L21" s="4">
        <f t="shared" si="11"/>
        <v>0</v>
      </c>
      <c r="M21" s="4">
        <f t="shared" si="11"/>
        <v>467.59</v>
      </c>
      <c r="N21" s="11"/>
      <c r="O21" s="4">
        <f>(((((((((((B21)+(C21))+(D21))+(E21))+(F21))+(G21))+(H21))+(I21))+(J21))+(K21))+(L21))+(M21)</f>
        <v>2463.6799999999998</v>
      </c>
      <c r="P21" s="19">
        <f>O21/12</f>
        <v>205.30666666666664</v>
      </c>
      <c r="Q21" s="19">
        <f>SUM(K21:M21)/3</f>
        <v>155.86333333333332</v>
      </c>
      <c r="S21" s="22">
        <f>S20</f>
        <v>3000</v>
      </c>
      <c r="T21" s="8">
        <f>T20</f>
        <v>250</v>
      </c>
    </row>
    <row r="22" spans="1:21" x14ac:dyDescent="0.25">
      <c r="A22" s="31" t="s">
        <v>28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"/>
    </row>
    <row r="23" spans="1:21" x14ac:dyDescent="0.25">
      <c r="A23" s="31" t="s">
        <v>29</v>
      </c>
      <c r="B23" s="3">
        <f>55.52</f>
        <v>55.52</v>
      </c>
      <c r="C23" s="3">
        <f>5.09</f>
        <v>5.09</v>
      </c>
      <c r="D23" s="3">
        <f>26.08</f>
        <v>26.08</v>
      </c>
      <c r="E23" s="3">
        <f>59.1</f>
        <v>59.1</v>
      </c>
      <c r="F23" s="3">
        <f>1368.61</f>
        <v>1368.61</v>
      </c>
      <c r="G23" s="3">
        <f>29.91</f>
        <v>29.91</v>
      </c>
      <c r="H23" s="3">
        <f>20.09</f>
        <v>20.09</v>
      </c>
      <c r="I23" s="3">
        <f>14.22</f>
        <v>14.22</v>
      </c>
      <c r="J23" s="3">
        <f>22.95</f>
        <v>22.95</v>
      </c>
      <c r="K23" s="3">
        <f>26.17</f>
        <v>26.17</v>
      </c>
      <c r="L23" s="3">
        <f>53.08</f>
        <v>53.08</v>
      </c>
      <c r="M23" s="3">
        <f>292.1</f>
        <v>292.10000000000002</v>
      </c>
      <c r="N23" s="3"/>
      <c r="O23" s="3">
        <f>(((((((((((B23)+(C23))+(D23))+(E23))+(F23))+(G23))+(H23))+(I23))+(J23))+(K23))+(L23))+(M23)</f>
        <v>1972.92</v>
      </c>
      <c r="P23" s="14">
        <f>O23/12</f>
        <v>164.41</v>
      </c>
      <c r="Q23" s="14">
        <f>SUM(K23:M23)/3</f>
        <v>123.78333333333335</v>
      </c>
      <c r="S23" s="14">
        <v>2000</v>
      </c>
      <c r="T23" s="6">
        <f>S23/12</f>
        <v>166.66666666666666</v>
      </c>
    </row>
    <row r="24" spans="1:21" x14ac:dyDescent="0.25">
      <c r="A24" s="31" t="s">
        <v>30</v>
      </c>
      <c r="B24" s="3">
        <f>15.51</f>
        <v>15.51</v>
      </c>
      <c r="C24" s="3">
        <f>6.54</f>
        <v>6.54</v>
      </c>
      <c r="D24" s="3">
        <f>5.55</f>
        <v>5.55</v>
      </c>
      <c r="E24" s="3">
        <f>5.55</f>
        <v>5.55</v>
      </c>
      <c r="F24" s="3">
        <f>5.55</f>
        <v>5.55</v>
      </c>
      <c r="G24" s="3">
        <f>5.55</f>
        <v>5.55</v>
      </c>
      <c r="H24" s="3">
        <f>4.66</f>
        <v>4.66</v>
      </c>
      <c r="I24" s="3">
        <f>4.66</f>
        <v>4.66</v>
      </c>
      <c r="J24" s="3">
        <f>4.66</f>
        <v>4.66</v>
      </c>
      <c r="K24" s="3">
        <f>4.66</f>
        <v>4.66</v>
      </c>
      <c r="L24" s="3">
        <f>2.67</f>
        <v>2.67</v>
      </c>
      <c r="M24" s="3">
        <f>2.18</f>
        <v>2.1800000000000002</v>
      </c>
      <c r="N24" s="3"/>
      <c r="O24" s="3">
        <f>(((((((((((B24)+(C24))+(D24))+(E24))+(F24))+(G24))+(H24))+(I24))+(J24))+(K24))+(L24))+(M24)</f>
        <v>67.739999999999995</v>
      </c>
      <c r="P24" s="20">
        <f>O24/12</f>
        <v>5.6449999999999996</v>
      </c>
      <c r="Q24" s="20">
        <f>SUM(K24:M24)/3</f>
        <v>3.17</v>
      </c>
      <c r="S24" s="14">
        <v>65</v>
      </c>
      <c r="T24" s="6">
        <f>S24/12</f>
        <v>5.416666666666667</v>
      </c>
    </row>
    <row r="25" spans="1:21" ht="23.25" x14ac:dyDescent="0.25">
      <c r="A25" s="31" t="s">
        <v>31</v>
      </c>
      <c r="B25" s="4">
        <f t="shared" ref="B25:M25" si="12">(B23)+(B24)</f>
        <v>71.03</v>
      </c>
      <c r="C25" s="4">
        <f t="shared" si="12"/>
        <v>11.629999999999999</v>
      </c>
      <c r="D25" s="4">
        <f t="shared" si="12"/>
        <v>31.63</v>
      </c>
      <c r="E25" s="4">
        <f t="shared" si="12"/>
        <v>64.650000000000006</v>
      </c>
      <c r="F25" s="4">
        <f t="shared" si="12"/>
        <v>1374.1599999999999</v>
      </c>
      <c r="G25" s="4">
        <f t="shared" si="12"/>
        <v>35.46</v>
      </c>
      <c r="H25" s="4">
        <f t="shared" si="12"/>
        <v>24.75</v>
      </c>
      <c r="I25" s="4">
        <f t="shared" si="12"/>
        <v>18.880000000000003</v>
      </c>
      <c r="J25" s="4">
        <f t="shared" si="12"/>
        <v>27.61</v>
      </c>
      <c r="K25" s="4">
        <f t="shared" si="12"/>
        <v>30.830000000000002</v>
      </c>
      <c r="L25" s="4">
        <f t="shared" si="12"/>
        <v>55.75</v>
      </c>
      <c r="M25" s="4">
        <f t="shared" si="12"/>
        <v>294.28000000000003</v>
      </c>
      <c r="N25" s="11"/>
      <c r="O25" s="4">
        <f>(((((((((((B25)+(C25))+(D25))+(E25))+(F25))+(G25))+(H25))+(I25))+(J25))+(K25))+(L25))+(M25)</f>
        <v>2040.6599999999999</v>
      </c>
      <c r="P25" s="19">
        <f>O25/12</f>
        <v>170.05499999999998</v>
      </c>
      <c r="Q25" s="19">
        <f>SUM(K25:M25)/3</f>
        <v>126.95333333333333</v>
      </c>
      <c r="S25" s="22">
        <f>S23+S24</f>
        <v>2065</v>
      </c>
      <c r="T25" s="8">
        <f>T23+T24</f>
        <v>172.08333333333331</v>
      </c>
      <c r="U25" s="30"/>
    </row>
    <row r="26" spans="1:21" x14ac:dyDescent="0.25">
      <c r="A26" s="3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9"/>
      <c r="Q26" s="19"/>
      <c r="S26" s="18"/>
      <c r="T26" s="9"/>
    </row>
    <row r="27" spans="1:21" x14ac:dyDescent="0.25">
      <c r="A27" s="31" t="s">
        <v>68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9"/>
      <c r="Q27" s="19"/>
      <c r="S27" s="29">
        <v>300</v>
      </c>
      <c r="T27" s="24">
        <f>S27/12</f>
        <v>25</v>
      </c>
      <c r="U27" s="26" t="s">
        <v>78</v>
      </c>
    </row>
    <row r="28" spans="1:21" x14ac:dyDescent="0.25">
      <c r="A28" s="31" t="s">
        <v>32</v>
      </c>
      <c r="B28" s="2"/>
      <c r="C28" s="2"/>
      <c r="D28" s="2"/>
      <c r="E28" s="2"/>
      <c r="F28" s="3">
        <f>170.1</f>
        <v>170.1</v>
      </c>
      <c r="G28" s="2"/>
      <c r="H28" s="2"/>
      <c r="I28" s="3">
        <f>175</f>
        <v>175</v>
      </c>
      <c r="J28" s="2"/>
      <c r="K28" s="3">
        <f>48.97</f>
        <v>48.97</v>
      </c>
      <c r="L28" s="3">
        <f>3.82</f>
        <v>3.82</v>
      </c>
      <c r="M28" s="2"/>
      <c r="N28" s="2"/>
      <c r="O28" s="3">
        <f t="shared" ref="O28:O34" si="13">(((((((((((B28)+(C28))+(D28))+(E28))+(F28))+(G28))+(H28))+(I28))+(J28))+(K28))+(L28))+(M28)</f>
        <v>397.89000000000004</v>
      </c>
      <c r="P28" s="14">
        <f t="shared" ref="P28:P34" si="14">O28/12</f>
        <v>33.157500000000006</v>
      </c>
      <c r="Q28" s="14">
        <f t="shared" ref="Q28:Q34" si="15">SUM(K28:M28)/3</f>
        <v>17.596666666666668</v>
      </c>
      <c r="S28" s="14">
        <v>400</v>
      </c>
      <c r="T28" s="24">
        <f t="shared" ref="T28:T33" si="16">S28/12</f>
        <v>33.333333333333336</v>
      </c>
    </row>
    <row r="29" spans="1:21" ht="23.25" x14ac:dyDescent="0.25">
      <c r="A29" s="31" t="s">
        <v>33</v>
      </c>
      <c r="B29" s="2"/>
      <c r="C29" s="3">
        <f>10</f>
        <v>10</v>
      </c>
      <c r="D29" s="3">
        <f>18.33</f>
        <v>18.329999999999998</v>
      </c>
      <c r="E29" s="3">
        <f>18.33</f>
        <v>18.329999999999998</v>
      </c>
      <c r="F29" s="3">
        <f>18.33</f>
        <v>18.329999999999998</v>
      </c>
      <c r="G29" s="3">
        <f>38.79</f>
        <v>38.79</v>
      </c>
      <c r="H29" s="3">
        <f>18.33</f>
        <v>18.329999999999998</v>
      </c>
      <c r="I29" s="3">
        <f>18.33</f>
        <v>18.329999999999998</v>
      </c>
      <c r="J29" s="3">
        <f>18.33</f>
        <v>18.329999999999998</v>
      </c>
      <c r="K29" s="3">
        <f>35</f>
        <v>35</v>
      </c>
      <c r="L29" s="3">
        <f>50</f>
        <v>50</v>
      </c>
      <c r="M29" s="3">
        <f>35</f>
        <v>35</v>
      </c>
      <c r="N29" s="3"/>
      <c r="O29" s="3">
        <f t="shared" si="13"/>
        <v>278.77</v>
      </c>
      <c r="P29" s="14">
        <f t="shared" si="14"/>
        <v>23.230833333333333</v>
      </c>
      <c r="Q29" s="14">
        <f t="shared" si="15"/>
        <v>40</v>
      </c>
      <c r="S29" s="27">
        <v>500</v>
      </c>
      <c r="T29" s="24">
        <f t="shared" si="16"/>
        <v>41.666666666666664</v>
      </c>
    </row>
    <row r="30" spans="1:21" x14ac:dyDescent="0.25">
      <c r="A30" s="31" t="s">
        <v>34</v>
      </c>
      <c r="B30" s="3">
        <f>28.91</f>
        <v>28.91</v>
      </c>
      <c r="C30" s="2"/>
      <c r="D30" s="2"/>
      <c r="E30" s="2"/>
      <c r="F30" s="3">
        <f>9.99</f>
        <v>9.99</v>
      </c>
      <c r="G30" s="2"/>
      <c r="H30" s="2"/>
      <c r="I30" s="2"/>
      <c r="J30" s="2"/>
      <c r="K30" s="2"/>
      <c r="L30" s="2"/>
      <c r="M30" s="3">
        <f>39.99</f>
        <v>39.99</v>
      </c>
      <c r="N30" s="3"/>
      <c r="O30" s="3">
        <f t="shared" si="13"/>
        <v>78.89</v>
      </c>
      <c r="P30" s="14">
        <f t="shared" si="14"/>
        <v>6.5741666666666667</v>
      </c>
      <c r="Q30" s="14">
        <f t="shared" si="15"/>
        <v>13.33</v>
      </c>
      <c r="S30" s="14">
        <v>80</v>
      </c>
      <c r="T30" s="24">
        <f t="shared" si="16"/>
        <v>6.666666666666667</v>
      </c>
    </row>
    <row r="31" spans="1:21" x14ac:dyDescent="0.25">
      <c r="A31" s="31" t="s">
        <v>35</v>
      </c>
      <c r="B31" s="2"/>
      <c r="C31" s="3">
        <f>2.16</f>
        <v>2.16</v>
      </c>
      <c r="D31" s="2"/>
      <c r="E31" s="3">
        <f>9.83</f>
        <v>9.83</v>
      </c>
      <c r="F31" s="2"/>
      <c r="G31" s="2"/>
      <c r="H31" s="2"/>
      <c r="I31" s="2"/>
      <c r="J31" s="3">
        <f>2.8</f>
        <v>2.8</v>
      </c>
      <c r="K31" s="2"/>
      <c r="L31" s="3">
        <f>62.93</f>
        <v>62.93</v>
      </c>
      <c r="M31" s="2"/>
      <c r="N31" s="2"/>
      <c r="O31" s="3">
        <f t="shared" si="13"/>
        <v>77.72</v>
      </c>
      <c r="P31" s="14">
        <f t="shared" si="14"/>
        <v>6.4766666666666666</v>
      </c>
      <c r="Q31" s="14">
        <f t="shared" si="15"/>
        <v>20.976666666666667</v>
      </c>
      <c r="S31" s="14">
        <v>40</v>
      </c>
      <c r="T31" s="24">
        <f t="shared" si="16"/>
        <v>3.3333333333333335</v>
      </c>
    </row>
    <row r="32" spans="1:21" x14ac:dyDescent="0.25">
      <c r="A32" s="31" t="s">
        <v>36</v>
      </c>
      <c r="B32" s="2"/>
      <c r="C32" s="3">
        <f>17.4</f>
        <v>17.399999999999999</v>
      </c>
      <c r="D32" s="2"/>
      <c r="E32" s="3">
        <f>283.62</f>
        <v>283.62</v>
      </c>
      <c r="F32" s="3">
        <f>58</f>
        <v>58</v>
      </c>
      <c r="G32" s="2"/>
      <c r="H32" s="2"/>
      <c r="I32" s="3">
        <f>159.83</f>
        <v>159.83000000000001</v>
      </c>
      <c r="J32" s="2"/>
      <c r="K32" s="2"/>
      <c r="L32" s="3">
        <f>161.32</f>
        <v>161.32</v>
      </c>
      <c r="M32" s="3">
        <f>120</f>
        <v>120</v>
      </c>
      <c r="N32" s="3"/>
      <c r="O32" s="3">
        <f t="shared" si="13"/>
        <v>800.17000000000007</v>
      </c>
      <c r="P32" s="14">
        <f t="shared" si="14"/>
        <v>66.680833333333339</v>
      </c>
      <c r="Q32" s="14">
        <f t="shared" si="15"/>
        <v>93.773333333333326</v>
      </c>
      <c r="S32" s="14">
        <v>800</v>
      </c>
      <c r="T32" s="24">
        <f t="shared" si="16"/>
        <v>66.666666666666671</v>
      </c>
    </row>
    <row r="33" spans="1:21" x14ac:dyDescent="0.25">
      <c r="A33" s="31" t="s">
        <v>37</v>
      </c>
      <c r="B33" s="3">
        <f>92.24</f>
        <v>92.24</v>
      </c>
      <c r="C33" s="3">
        <f>32.24</f>
        <v>32.24</v>
      </c>
      <c r="D33" s="3">
        <f>32.24</f>
        <v>32.24</v>
      </c>
      <c r="E33" s="3">
        <f>76.99</f>
        <v>76.989999999999995</v>
      </c>
      <c r="F33" s="3">
        <f>111.01</f>
        <v>111.01</v>
      </c>
      <c r="G33" s="3">
        <f>96.99</f>
        <v>96.99</v>
      </c>
      <c r="H33" s="3">
        <f>107.84</f>
        <v>107.84</v>
      </c>
      <c r="I33" s="3">
        <f>62.1</f>
        <v>62.1</v>
      </c>
      <c r="J33" s="3">
        <f>151.63</f>
        <v>151.63</v>
      </c>
      <c r="K33" s="3">
        <f>147.9</f>
        <v>147.9</v>
      </c>
      <c r="L33" s="3">
        <f>147.9</f>
        <v>147.9</v>
      </c>
      <c r="M33" s="3">
        <f>147.9</f>
        <v>147.9</v>
      </c>
      <c r="N33" s="3"/>
      <c r="O33" s="3">
        <f t="shared" si="13"/>
        <v>1206.98</v>
      </c>
      <c r="P33" s="20">
        <f t="shared" si="14"/>
        <v>100.58166666666666</v>
      </c>
      <c r="Q33" s="20">
        <f t="shared" si="15"/>
        <v>147.9</v>
      </c>
      <c r="S33" s="14">
        <v>1250</v>
      </c>
      <c r="T33" s="24">
        <f t="shared" si="16"/>
        <v>104.16666666666667</v>
      </c>
    </row>
    <row r="34" spans="1:21" x14ac:dyDescent="0.25">
      <c r="A34" s="31" t="s">
        <v>38</v>
      </c>
      <c r="B34" s="4">
        <f t="shared" ref="B34:M34" si="17">(((((((B22)+(B25))+(B28))+(B29))+(B30))+(B31))+(B32))+(B33)</f>
        <v>192.18</v>
      </c>
      <c r="C34" s="4">
        <f t="shared" si="17"/>
        <v>73.430000000000007</v>
      </c>
      <c r="D34" s="4">
        <f t="shared" si="17"/>
        <v>82.199999999999989</v>
      </c>
      <c r="E34" s="4">
        <f t="shared" si="17"/>
        <v>453.42</v>
      </c>
      <c r="F34" s="4">
        <f t="shared" si="17"/>
        <v>1741.5899999999997</v>
      </c>
      <c r="G34" s="4">
        <f t="shared" si="17"/>
        <v>171.24</v>
      </c>
      <c r="H34" s="4">
        <f t="shared" si="17"/>
        <v>150.92000000000002</v>
      </c>
      <c r="I34" s="4">
        <f t="shared" si="17"/>
        <v>434.14</v>
      </c>
      <c r="J34" s="4">
        <f t="shared" si="17"/>
        <v>200.37</v>
      </c>
      <c r="K34" s="4">
        <f t="shared" si="17"/>
        <v>262.7</v>
      </c>
      <c r="L34" s="4">
        <f t="shared" si="17"/>
        <v>481.72</v>
      </c>
      <c r="M34" s="4">
        <f t="shared" si="17"/>
        <v>637.17000000000007</v>
      </c>
      <c r="N34" s="11"/>
      <c r="O34" s="4">
        <f t="shared" si="13"/>
        <v>4881.079999999999</v>
      </c>
      <c r="P34" s="19">
        <f t="shared" si="14"/>
        <v>406.7566666666666</v>
      </c>
      <c r="Q34" s="19">
        <f t="shared" si="15"/>
        <v>460.53000000000003</v>
      </c>
      <c r="S34" s="22">
        <f>SUM(S27:S33)</f>
        <v>3370</v>
      </c>
      <c r="T34" s="8">
        <f>SUM(T27:T33)</f>
        <v>280.83333333333337</v>
      </c>
    </row>
    <row r="35" spans="1:21" x14ac:dyDescent="0.25">
      <c r="A35" s="3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9"/>
      <c r="Q35" s="19"/>
      <c r="S35" s="18"/>
      <c r="T35" s="9"/>
    </row>
    <row r="36" spans="1:21" x14ac:dyDescent="0.25">
      <c r="A36" s="31" t="s">
        <v>39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S36" s="27">
        <v>3000</v>
      </c>
      <c r="T36" s="6">
        <f>S36/12</f>
        <v>250</v>
      </c>
      <c r="U36" s="26" t="s">
        <v>77</v>
      </c>
    </row>
    <row r="37" spans="1:21" x14ac:dyDescent="0.25">
      <c r="A37" s="31" t="s">
        <v>40</v>
      </c>
      <c r="B37" s="2"/>
      <c r="C37" s="2"/>
      <c r="D37" s="3">
        <f>3375</f>
        <v>3375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3">
        <f>(((((((((((B37)+(C37))+(D37))+(E37))+(F37))+(G37))+(H37))+(I37))+(J37))+(K37))+(L37))+(M37)</f>
        <v>3375</v>
      </c>
      <c r="P37" s="20">
        <f>O37/12</f>
        <v>281.25</v>
      </c>
      <c r="S37" s="14">
        <v>5000</v>
      </c>
      <c r="T37" s="6">
        <f>S37/12</f>
        <v>416.66666666666669</v>
      </c>
      <c r="U37" s="26" t="s">
        <v>76</v>
      </c>
    </row>
    <row r="38" spans="1:21" ht="23.25" x14ac:dyDescent="0.25">
      <c r="A38" s="31" t="s">
        <v>41</v>
      </c>
      <c r="B38" s="4">
        <f t="shared" ref="B38:M38" si="18">(B36)+(B37)</f>
        <v>0</v>
      </c>
      <c r="C38" s="4">
        <f t="shared" si="18"/>
        <v>0</v>
      </c>
      <c r="D38" s="4">
        <f t="shared" si="18"/>
        <v>3375</v>
      </c>
      <c r="E38" s="4">
        <f t="shared" si="18"/>
        <v>0</v>
      </c>
      <c r="F38" s="4">
        <f t="shared" si="18"/>
        <v>0</v>
      </c>
      <c r="G38" s="4">
        <f t="shared" si="18"/>
        <v>0</v>
      </c>
      <c r="H38" s="4">
        <f t="shared" si="18"/>
        <v>0</v>
      </c>
      <c r="I38" s="4">
        <f t="shared" si="18"/>
        <v>0</v>
      </c>
      <c r="J38" s="4">
        <f t="shared" si="18"/>
        <v>0</v>
      </c>
      <c r="K38" s="4">
        <f t="shared" si="18"/>
        <v>0</v>
      </c>
      <c r="L38" s="4">
        <f t="shared" si="18"/>
        <v>0</v>
      </c>
      <c r="M38" s="4">
        <f t="shared" si="18"/>
        <v>0</v>
      </c>
      <c r="N38" s="11"/>
      <c r="O38" s="4">
        <f>(((((((((((B38)+(C38))+(D38))+(E38))+(F38))+(G38))+(H38))+(I38))+(J38))+(K38))+(L38))+(M38)</f>
        <v>3375</v>
      </c>
      <c r="P38" s="19">
        <f>O38/12</f>
        <v>281.25</v>
      </c>
      <c r="Q38" s="21"/>
      <c r="S38" s="22">
        <f>S36+S37</f>
        <v>8000</v>
      </c>
      <c r="T38" s="8">
        <f>T36+T37</f>
        <v>666.66666666666674</v>
      </c>
    </row>
    <row r="39" spans="1:21" x14ac:dyDescent="0.25">
      <c r="A39" s="31" t="s">
        <v>69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9"/>
      <c r="Q39" s="23"/>
    </row>
    <row r="40" spans="1:21" x14ac:dyDescent="0.25">
      <c r="A40" s="31" t="s">
        <v>70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9"/>
      <c r="Q40" s="23"/>
      <c r="S40" s="23">
        <v>985878</v>
      </c>
      <c r="T40" s="6">
        <f>S40/12</f>
        <v>82156.5</v>
      </c>
    </row>
    <row r="41" spans="1:21" x14ac:dyDescent="0.25">
      <c r="A41" s="31" t="s">
        <v>71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9"/>
      <c r="Q41" s="23"/>
      <c r="S41" s="22">
        <f>S40</f>
        <v>985878</v>
      </c>
      <c r="T41" s="8">
        <f>T40</f>
        <v>82156.5</v>
      </c>
    </row>
    <row r="42" spans="1:21" x14ac:dyDescent="0.25">
      <c r="A42" s="31" t="s">
        <v>42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</row>
    <row r="43" spans="1:21" x14ac:dyDescent="0.25">
      <c r="A43" s="31" t="s">
        <v>43</v>
      </c>
      <c r="B43" s="2"/>
      <c r="C43" s="2"/>
      <c r="D43" s="3">
        <f>135.33</f>
        <v>135.33000000000001</v>
      </c>
      <c r="E43" s="3">
        <f>135.33</f>
        <v>135.33000000000001</v>
      </c>
      <c r="F43" s="3">
        <f>135.33</f>
        <v>135.33000000000001</v>
      </c>
      <c r="G43" s="3">
        <f>151.91</f>
        <v>151.91</v>
      </c>
      <c r="H43" s="3">
        <f>151.91</f>
        <v>151.91</v>
      </c>
      <c r="I43" s="3">
        <f>426.91</f>
        <v>426.91</v>
      </c>
      <c r="J43" s="3">
        <f>140.91</f>
        <v>140.91</v>
      </c>
      <c r="K43" s="3">
        <f>151.91</f>
        <v>151.91</v>
      </c>
      <c r="L43" s="3">
        <f>151.91</f>
        <v>151.91</v>
      </c>
      <c r="M43" s="3">
        <f>151.91</f>
        <v>151.91</v>
      </c>
      <c r="N43" s="3"/>
      <c r="O43" s="3">
        <f>(((((((((((B43)+(C43))+(D43))+(E43))+(F43))+(G43))+(H43))+(I43))+(J43))+(K43))+(L43))+(M43)</f>
        <v>1733.3600000000004</v>
      </c>
      <c r="P43" s="20">
        <f>O43/12</f>
        <v>144.44666666666669</v>
      </c>
      <c r="Q43" s="20">
        <f>SUM(K43:M43)/3</f>
        <v>151.91</v>
      </c>
      <c r="S43" s="14">
        <v>1740</v>
      </c>
      <c r="T43" s="6">
        <f>S43/12</f>
        <v>145</v>
      </c>
    </row>
    <row r="44" spans="1:21" x14ac:dyDescent="0.25">
      <c r="A44" s="31" t="s">
        <v>44</v>
      </c>
      <c r="B44" s="4">
        <f t="shared" ref="B44:M44" si="19">(B42)+(B43)</f>
        <v>0</v>
      </c>
      <c r="C44" s="4">
        <f t="shared" si="19"/>
        <v>0</v>
      </c>
      <c r="D44" s="4">
        <f t="shared" si="19"/>
        <v>135.33000000000001</v>
      </c>
      <c r="E44" s="4">
        <f t="shared" si="19"/>
        <v>135.33000000000001</v>
      </c>
      <c r="F44" s="4">
        <f t="shared" si="19"/>
        <v>135.33000000000001</v>
      </c>
      <c r="G44" s="4">
        <f t="shared" si="19"/>
        <v>151.91</v>
      </c>
      <c r="H44" s="4">
        <f t="shared" si="19"/>
        <v>151.91</v>
      </c>
      <c r="I44" s="4">
        <f t="shared" si="19"/>
        <v>426.91</v>
      </c>
      <c r="J44" s="4">
        <f t="shared" si="19"/>
        <v>140.91</v>
      </c>
      <c r="K44" s="4">
        <f t="shared" si="19"/>
        <v>151.91</v>
      </c>
      <c r="L44" s="4">
        <f t="shared" si="19"/>
        <v>151.91</v>
      </c>
      <c r="M44" s="4">
        <f t="shared" si="19"/>
        <v>151.91</v>
      </c>
      <c r="N44" s="11"/>
      <c r="O44" s="4">
        <f>(((((((((((B44)+(C44))+(D44))+(E44))+(F44))+(G44))+(H44))+(I44))+(J44))+(K44))+(L44))+(M44)</f>
        <v>1733.3600000000004</v>
      </c>
      <c r="P44" s="19">
        <f>O44/12</f>
        <v>144.44666666666669</v>
      </c>
      <c r="Q44" s="19">
        <f>SUM(K44:M44)/3</f>
        <v>151.91</v>
      </c>
      <c r="S44" s="22">
        <f>S43</f>
        <v>1740</v>
      </c>
      <c r="T44" s="8">
        <f>T43</f>
        <v>145</v>
      </c>
    </row>
    <row r="45" spans="1:21" x14ac:dyDescent="0.25">
      <c r="A45" s="31" t="s">
        <v>45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</row>
    <row r="46" spans="1:21" x14ac:dyDescent="0.25">
      <c r="A46" s="31" t="s">
        <v>46</v>
      </c>
      <c r="B46" s="3">
        <f>450</f>
        <v>450</v>
      </c>
      <c r="C46" s="3">
        <f>450</f>
        <v>450</v>
      </c>
      <c r="D46" s="3">
        <f>450</f>
        <v>450</v>
      </c>
      <c r="E46" s="3">
        <f>450</f>
        <v>450</v>
      </c>
      <c r="F46" s="3">
        <f>450</f>
        <v>450</v>
      </c>
      <c r="G46" s="3">
        <f>450</f>
        <v>450</v>
      </c>
      <c r="H46" s="3">
        <f>450</f>
        <v>450</v>
      </c>
      <c r="I46" s="3">
        <f>450</f>
        <v>450</v>
      </c>
      <c r="J46" s="3">
        <f>450</f>
        <v>450</v>
      </c>
      <c r="K46" s="3">
        <f>450</f>
        <v>450</v>
      </c>
      <c r="L46" s="3">
        <f>450</f>
        <v>450</v>
      </c>
      <c r="M46" s="3">
        <f>450</f>
        <v>450</v>
      </c>
      <c r="N46" s="3"/>
      <c r="O46" s="3">
        <f>(((((((((((B46)+(C46))+(D46))+(E46))+(F46))+(G46))+(H46))+(I46))+(J46))+(K46))+(L46))+(M46)</f>
        <v>5400</v>
      </c>
      <c r="P46" s="20">
        <f>O46/12</f>
        <v>450</v>
      </c>
      <c r="Q46" s="20">
        <f>SUM(K46:M46)/3</f>
        <v>450</v>
      </c>
      <c r="S46" s="14">
        <v>5400</v>
      </c>
      <c r="T46" s="6">
        <f>S46/12</f>
        <v>450</v>
      </c>
    </row>
    <row r="47" spans="1:21" x14ac:dyDescent="0.25">
      <c r="A47" s="31" t="s">
        <v>47</v>
      </c>
      <c r="B47" s="4">
        <f t="shared" ref="B47:M47" si="20">(B45)+(B46)</f>
        <v>450</v>
      </c>
      <c r="C47" s="4">
        <f t="shared" si="20"/>
        <v>450</v>
      </c>
      <c r="D47" s="4">
        <f t="shared" si="20"/>
        <v>450</v>
      </c>
      <c r="E47" s="4">
        <f t="shared" si="20"/>
        <v>450</v>
      </c>
      <c r="F47" s="4">
        <f t="shared" si="20"/>
        <v>450</v>
      </c>
      <c r="G47" s="4">
        <f t="shared" si="20"/>
        <v>450</v>
      </c>
      <c r="H47" s="4">
        <f t="shared" si="20"/>
        <v>450</v>
      </c>
      <c r="I47" s="4">
        <f t="shared" si="20"/>
        <v>450</v>
      </c>
      <c r="J47" s="4">
        <f t="shared" si="20"/>
        <v>450</v>
      </c>
      <c r="K47" s="4">
        <f t="shared" si="20"/>
        <v>450</v>
      </c>
      <c r="L47" s="4">
        <f t="shared" si="20"/>
        <v>450</v>
      </c>
      <c r="M47" s="4">
        <f t="shared" si="20"/>
        <v>450</v>
      </c>
      <c r="N47" s="11"/>
      <c r="O47" s="4">
        <f>(((((((((((B47)+(C47))+(D47))+(E47))+(F47))+(G47))+(H47))+(I47))+(J47))+(K47))+(L47))+(M47)</f>
        <v>5400</v>
      </c>
      <c r="P47" s="19">
        <f>O47/12</f>
        <v>450</v>
      </c>
      <c r="Q47" s="19">
        <f>SUM(K47:M47)/3</f>
        <v>450</v>
      </c>
      <c r="S47" s="22">
        <f>S46</f>
        <v>5400</v>
      </c>
      <c r="T47" s="8">
        <f>T46</f>
        <v>450</v>
      </c>
    </row>
    <row r="48" spans="1:21" x14ac:dyDescent="0.25">
      <c r="A48" s="3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9"/>
      <c r="Q48" s="19"/>
      <c r="S48" s="18"/>
      <c r="T48" s="9"/>
    </row>
    <row r="49" spans="1:21" x14ac:dyDescent="0.25">
      <c r="A49" s="31" t="s">
        <v>48</v>
      </c>
      <c r="B49" s="3">
        <f>140.09</f>
        <v>140.09</v>
      </c>
      <c r="C49" s="3">
        <f>85.87</f>
        <v>85.87</v>
      </c>
      <c r="D49" s="3">
        <f>105.5</f>
        <v>105.5</v>
      </c>
      <c r="E49" s="3">
        <f>-72.38</f>
        <v>-72.38</v>
      </c>
      <c r="F49" s="3">
        <f>66.24</f>
        <v>66.239999999999995</v>
      </c>
      <c r="G49" s="3">
        <f>33.12</f>
        <v>33.119999999999997</v>
      </c>
      <c r="H49" s="3">
        <f>99.36</f>
        <v>99.36</v>
      </c>
      <c r="I49" s="3">
        <f>66.24</f>
        <v>66.239999999999995</v>
      </c>
      <c r="J49" s="3">
        <f>66.24</f>
        <v>66.239999999999995</v>
      </c>
      <c r="K49" s="3">
        <f>66.24</f>
        <v>66.239999999999995</v>
      </c>
      <c r="L49" s="3">
        <f>33.12</f>
        <v>33.119999999999997</v>
      </c>
      <c r="M49" s="3">
        <f>33.12</f>
        <v>33.119999999999997</v>
      </c>
      <c r="N49" s="3"/>
      <c r="O49" s="3">
        <f>(((((((((((B49)+(C49))+(D49))+(E49))+(F49))+(G49))+(H49))+(I49))+(J49))+(K49))+(L49))+(M49)</f>
        <v>722.7600000000001</v>
      </c>
      <c r="P49" s="14">
        <f>O49/12</f>
        <v>60.230000000000011</v>
      </c>
      <c r="Q49" s="14">
        <f>SUM(K49:M49)/3</f>
        <v>44.16</v>
      </c>
      <c r="S49" s="14">
        <f>(33.12*12)+70</f>
        <v>467.43999999999994</v>
      </c>
      <c r="T49" s="6">
        <f>S49/12</f>
        <v>38.953333333333326</v>
      </c>
    </row>
    <row r="50" spans="1:21" x14ac:dyDescent="0.25">
      <c r="A50" s="31" t="s">
        <v>49</v>
      </c>
      <c r="B50" s="3">
        <f>149.95</f>
        <v>149.94999999999999</v>
      </c>
      <c r="C50" s="3">
        <f>173.66</f>
        <v>173.66</v>
      </c>
      <c r="D50" s="3">
        <f>186.28</f>
        <v>186.28</v>
      </c>
      <c r="E50" s="3">
        <f>143.44</f>
        <v>143.44</v>
      </c>
      <c r="F50" s="3">
        <f>149.56</f>
        <v>149.56</v>
      </c>
      <c r="G50" s="3">
        <f>138.47</f>
        <v>138.47</v>
      </c>
      <c r="H50" s="3">
        <f>171.11</f>
        <v>171.11</v>
      </c>
      <c r="I50" s="3">
        <f>152.05</f>
        <v>152.05000000000001</v>
      </c>
      <c r="J50" s="3">
        <f>217.72</f>
        <v>217.72</v>
      </c>
      <c r="K50" s="3">
        <f>317.32</f>
        <v>317.32</v>
      </c>
      <c r="L50" s="3">
        <f>427.48</f>
        <v>427.48</v>
      </c>
      <c r="M50" s="3">
        <f>426.5</f>
        <v>426.5</v>
      </c>
      <c r="N50" s="3"/>
      <c r="O50" s="3">
        <f>(((((((((((B50)+(C50))+(D50))+(E50))+(F50))+(G50))+(H50))+(I50))+(J50))+(K50))+(L50))+(M50)</f>
        <v>2653.54</v>
      </c>
      <c r="P50" s="14">
        <f>O50/12</f>
        <v>221.12833333333333</v>
      </c>
      <c r="Q50" s="14">
        <f>SUM(K50:M50)/3</f>
        <v>390.43333333333334</v>
      </c>
      <c r="S50" s="14">
        <f>427.13+12</f>
        <v>439.13</v>
      </c>
      <c r="T50" s="6">
        <f t="shared" ref="T50:T52" si="21">S50/12</f>
        <v>36.594166666666666</v>
      </c>
    </row>
    <row r="51" spans="1:21" ht="23.25" x14ac:dyDescent="0.25">
      <c r="A51" s="31" t="s">
        <v>50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3">
        <f>166.67</f>
        <v>166.67</v>
      </c>
      <c r="M51" s="3">
        <f>333.33</f>
        <v>333.33</v>
      </c>
      <c r="N51" s="3"/>
      <c r="O51" s="3">
        <f>(((((((((((B51)+(C51))+(D51))+(E51))+(F51))+(G51))+(H51))+(I51))+(J51))+(K51))+(L51))+(M51)</f>
        <v>500</v>
      </c>
      <c r="P51" s="14">
        <f>O51/12</f>
        <v>41.666666666666664</v>
      </c>
      <c r="Q51" s="14">
        <f>SUM(K51:M51)/3</f>
        <v>166.66666666666666</v>
      </c>
      <c r="S51" s="14">
        <f>333.33*12</f>
        <v>3999.96</v>
      </c>
      <c r="T51" s="6">
        <f t="shared" si="21"/>
        <v>333.33</v>
      </c>
    </row>
    <row r="52" spans="1:21" x14ac:dyDescent="0.25">
      <c r="A52" s="31" t="s">
        <v>51</v>
      </c>
      <c r="B52" s="3">
        <f>1960</f>
        <v>1960</v>
      </c>
      <c r="C52" s="3">
        <f>2270</f>
        <v>2270</v>
      </c>
      <c r="D52" s="3">
        <f>2435</f>
        <v>2435</v>
      </c>
      <c r="E52" s="3">
        <f>1875</f>
        <v>1875</v>
      </c>
      <c r="F52" s="3">
        <f>1955</f>
        <v>1955</v>
      </c>
      <c r="G52" s="3">
        <f>1810</f>
        <v>1810</v>
      </c>
      <c r="H52" s="3">
        <f>2237.5</f>
        <v>2237.5</v>
      </c>
      <c r="I52" s="3">
        <f>1987.5</f>
        <v>1987.5</v>
      </c>
      <c r="J52" s="3">
        <f>2850</f>
        <v>2850</v>
      </c>
      <c r="K52" s="3">
        <f>4147.92</f>
        <v>4147.92</v>
      </c>
      <c r="L52" s="3">
        <f>5583.33</f>
        <v>5583.33</v>
      </c>
      <c r="M52" s="3">
        <f>5583.96</f>
        <v>5583.96</v>
      </c>
      <c r="N52" s="3"/>
      <c r="O52" s="3">
        <f>(((((((((((B52)+(C52))+(D52))+(E52))+(F52))+(G52))+(H52))+(I52))+(J52))+(K52))+(L52))+(M52)</f>
        <v>34695.21</v>
      </c>
      <c r="P52" s="20">
        <f>O52/12</f>
        <v>2891.2674999999999</v>
      </c>
      <c r="Q52" s="20">
        <f>SUM(K52:M52)/3</f>
        <v>5105.07</v>
      </c>
      <c r="S52" s="14">
        <f>5583.33*12</f>
        <v>66999.959999999992</v>
      </c>
      <c r="T52" s="6">
        <f t="shared" si="21"/>
        <v>5583.329999999999</v>
      </c>
    </row>
    <row r="53" spans="1:21" x14ac:dyDescent="0.25">
      <c r="A53" s="31" t="s">
        <v>52</v>
      </c>
      <c r="B53" s="4">
        <f t="shared" ref="B53:M53" si="22">(((B49)+(B50))+(B51))+(B52)</f>
        <v>2250.04</v>
      </c>
      <c r="C53" s="4">
        <f t="shared" si="22"/>
        <v>2529.5299999999997</v>
      </c>
      <c r="D53" s="4">
        <f t="shared" si="22"/>
        <v>2726.7799999999997</v>
      </c>
      <c r="E53" s="4">
        <f t="shared" si="22"/>
        <v>1946.06</v>
      </c>
      <c r="F53" s="4">
        <f t="shared" si="22"/>
        <v>2170.8000000000002</v>
      </c>
      <c r="G53" s="4">
        <f t="shared" si="22"/>
        <v>1981.59</v>
      </c>
      <c r="H53" s="4">
        <f t="shared" si="22"/>
        <v>2507.9700000000003</v>
      </c>
      <c r="I53" s="4">
        <f t="shared" si="22"/>
        <v>2205.79</v>
      </c>
      <c r="J53" s="4">
        <f t="shared" si="22"/>
        <v>3133.96</v>
      </c>
      <c r="K53" s="4">
        <f t="shared" si="22"/>
        <v>4531.4800000000005</v>
      </c>
      <c r="L53" s="4">
        <f t="shared" si="22"/>
        <v>6210.6</v>
      </c>
      <c r="M53" s="4">
        <f t="shared" si="22"/>
        <v>6376.91</v>
      </c>
      <c r="N53" s="11"/>
      <c r="O53" s="4">
        <f>(((((((((((B53)+(C53))+(D53))+(E53))+(F53))+(G53))+(H53))+(I53))+(J53))+(K53))+(L53))+(M53)</f>
        <v>38571.509999999995</v>
      </c>
      <c r="P53" s="19">
        <f>O53/12</f>
        <v>3214.2924999999996</v>
      </c>
      <c r="Q53" s="19">
        <f>SUM(K53:M53)/3</f>
        <v>5706.3300000000008</v>
      </c>
      <c r="S53" s="22">
        <f>SUM(S49:S52)</f>
        <v>71906.489999999991</v>
      </c>
      <c r="T53" s="8">
        <f>SUM(T49:T52)</f>
        <v>5992.2074999999986</v>
      </c>
      <c r="U53" s="30"/>
    </row>
    <row r="54" spans="1:21" x14ac:dyDescent="0.25">
      <c r="A54" s="3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9"/>
      <c r="Q54" s="19"/>
      <c r="S54" s="18"/>
    </row>
    <row r="55" spans="1:21" x14ac:dyDescent="0.25">
      <c r="A55" s="31" t="s">
        <v>53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</row>
    <row r="56" spans="1:21" x14ac:dyDescent="0.25">
      <c r="A56" s="31" t="s">
        <v>54</v>
      </c>
      <c r="B56" s="2"/>
      <c r="C56" s="2"/>
      <c r="D56" s="2"/>
      <c r="E56" s="2"/>
      <c r="F56" s="2"/>
      <c r="G56" s="2"/>
      <c r="H56" s="3">
        <f>268</f>
        <v>268</v>
      </c>
      <c r="I56" s="2"/>
      <c r="J56" s="2"/>
      <c r="K56" s="2"/>
      <c r="L56" s="3">
        <f>52.43</f>
        <v>52.43</v>
      </c>
      <c r="M56" s="3">
        <f>2.2</f>
        <v>2.2000000000000002</v>
      </c>
      <c r="N56" s="3"/>
      <c r="O56" s="3">
        <f>(((((((((((B56)+(C56))+(D56))+(E56))+(F56))+(G56))+(H56))+(I56))+(J56))+(K56))+(L56))+(M56)</f>
        <v>322.63</v>
      </c>
      <c r="P56" s="20">
        <f>O56/12</f>
        <v>26.885833333333334</v>
      </c>
      <c r="Q56" s="20">
        <f>SUM(K56:M56)/3</f>
        <v>18.21</v>
      </c>
      <c r="S56" s="14">
        <v>350</v>
      </c>
      <c r="T56" s="6">
        <f>S56/12</f>
        <v>29.166666666666668</v>
      </c>
    </row>
    <row r="57" spans="1:21" x14ac:dyDescent="0.25">
      <c r="A57" s="31" t="s">
        <v>55</v>
      </c>
      <c r="B57" s="4">
        <f t="shared" ref="B57:M57" si="23">(B55)+(B56)</f>
        <v>0</v>
      </c>
      <c r="C57" s="4">
        <f t="shared" si="23"/>
        <v>0</v>
      </c>
      <c r="D57" s="4">
        <f t="shared" si="23"/>
        <v>0</v>
      </c>
      <c r="E57" s="4">
        <f t="shared" si="23"/>
        <v>0</v>
      </c>
      <c r="F57" s="4">
        <f t="shared" si="23"/>
        <v>0</v>
      </c>
      <c r="G57" s="4">
        <f t="shared" si="23"/>
        <v>0</v>
      </c>
      <c r="H57" s="4">
        <f t="shared" si="23"/>
        <v>268</v>
      </c>
      <c r="I57" s="4">
        <f t="shared" si="23"/>
        <v>0</v>
      </c>
      <c r="J57" s="4">
        <f t="shared" si="23"/>
        <v>0</v>
      </c>
      <c r="K57" s="4">
        <f t="shared" si="23"/>
        <v>0</v>
      </c>
      <c r="L57" s="4">
        <f t="shared" si="23"/>
        <v>52.43</v>
      </c>
      <c r="M57" s="4">
        <f t="shared" si="23"/>
        <v>2.2000000000000002</v>
      </c>
      <c r="N57" s="11"/>
      <c r="O57" s="4">
        <f>(((((((((((B57)+(C57))+(D57))+(E57))+(F57))+(G57))+(H57))+(I57))+(J57))+(K57))+(L57))+(M57)</f>
        <v>322.63</v>
      </c>
      <c r="P57" s="16">
        <f>O57/12</f>
        <v>26.885833333333334</v>
      </c>
      <c r="Q57" s="16">
        <f>SUM(K57:M57)/3</f>
        <v>18.21</v>
      </c>
      <c r="S57" s="17">
        <f>S56</f>
        <v>350</v>
      </c>
      <c r="T57" s="8">
        <f>T56</f>
        <v>29.166666666666668</v>
      </c>
    </row>
    <row r="58" spans="1:21" x14ac:dyDescent="0.25">
      <c r="A58" s="31" t="s">
        <v>56</v>
      </c>
      <c r="B58" s="4">
        <f t="shared" ref="B58:M58" si="24">((((((B21)+(B34))+(B38))+(B44))+(B47))+(B53))+(B57)</f>
        <v>2892.2200000000003</v>
      </c>
      <c r="C58" s="4">
        <f t="shared" si="24"/>
        <v>3052.96</v>
      </c>
      <c r="D58" s="4">
        <f t="shared" si="24"/>
        <v>6769.3099999999995</v>
      </c>
      <c r="E58" s="4">
        <f t="shared" si="24"/>
        <v>4336.41</v>
      </c>
      <c r="F58" s="4">
        <f t="shared" si="24"/>
        <v>4480.84</v>
      </c>
      <c r="G58" s="4">
        <f t="shared" si="24"/>
        <v>2754.74</v>
      </c>
      <c r="H58" s="4">
        <f t="shared" si="24"/>
        <v>3528.8</v>
      </c>
      <c r="I58" s="4">
        <f t="shared" si="24"/>
        <v>3516.84</v>
      </c>
      <c r="J58" s="4">
        <f t="shared" si="24"/>
        <v>4586.6100000000006</v>
      </c>
      <c r="K58" s="4">
        <f t="shared" si="24"/>
        <v>5396.09</v>
      </c>
      <c r="L58" s="4">
        <f t="shared" si="24"/>
        <v>7346.6600000000008</v>
      </c>
      <c r="M58" s="4">
        <f t="shared" si="24"/>
        <v>8085.78</v>
      </c>
      <c r="N58" s="11"/>
      <c r="O58" s="4">
        <f>(((((((((((B58)+(C58))+(D58))+(E58))+(F58))+(G58))+(H58))+(I58))+(J58))+(K58))+(L58))+(M58)</f>
        <v>56747.260000000009</v>
      </c>
      <c r="P58" s="17">
        <f>O58/12</f>
        <v>4728.9383333333344</v>
      </c>
      <c r="Q58" s="17">
        <f>SUM(K58:M58)/3</f>
        <v>6942.8433333333332</v>
      </c>
      <c r="S58" s="4">
        <f>((((((S21)+(S34))+(S38))+(S44))+(S47))+(S53))+(S57)+S41+S25</f>
        <v>1081709.49</v>
      </c>
      <c r="T58" s="8">
        <f>S58/12</f>
        <v>90142.457500000004</v>
      </c>
    </row>
    <row r="59" spans="1:21" x14ac:dyDescent="0.25">
      <c r="A59" s="31" t="s">
        <v>57</v>
      </c>
      <c r="B59" s="4">
        <f t="shared" ref="B59:M59" si="25">(B17)-(B58)</f>
        <v>-2015.6200000000003</v>
      </c>
      <c r="C59" s="4">
        <f t="shared" si="25"/>
        <v>-2757.06</v>
      </c>
      <c r="D59" s="4">
        <f t="shared" si="25"/>
        <v>-5005.25</v>
      </c>
      <c r="E59" s="4">
        <f t="shared" si="25"/>
        <v>-2725.14</v>
      </c>
      <c r="F59" s="4">
        <f t="shared" si="25"/>
        <v>51742.850000000006</v>
      </c>
      <c r="G59" s="4">
        <f t="shared" si="25"/>
        <v>-5.9899999999997817</v>
      </c>
      <c r="H59" s="4">
        <f t="shared" si="25"/>
        <v>-310.86999999999989</v>
      </c>
      <c r="I59" s="4">
        <f t="shared" si="25"/>
        <v>1335.4399999999996</v>
      </c>
      <c r="J59" s="4">
        <f t="shared" si="25"/>
        <v>2468.5499999999993</v>
      </c>
      <c r="K59" s="4">
        <f t="shared" si="25"/>
        <v>2385.7200000000003</v>
      </c>
      <c r="L59" s="4">
        <f t="shared" si="25"/>
        <v>23610.43</v>
      </c>
      <c r="M59" s="4">
        <f t="shared" si="25"/>
        <v>75560.639999999999</v>
      </c>
      <c r="N59" s="11"/>
      <c r="O59" s="4">
        <f>(((((((((((B59)+(C59))+(D59))+(E59))+(F59))+(G59))+(H59))+(I59))+(J59))+(K59))+(L59))+(M59)</f>
        <v>144283.70000000001</v>
      </c>
      <c r="P59" s="17">
        <f>O59/12</f>
        <v>12023.641666666668</v>
      </c>
      <c r="Q59" s="17">
        <f>SUM(K59:M59)/3</f>
        <v>33852.263333333336</v>
      </c>
      <c r="S59" s="4">
        <f>(S17)-(S58)</f>
        <v>-961209.49</v>
      </c>
      <c r="T59" s="8">
        <f>S59/12</f>
        <v>-80100.790833333333</v>
      </c>
    </row>
    <row r="60" spans="1:21" x14ac:dyDescent="0.25">
      <c r="A60" s="31" t="s">
        <v>58</v>
      </c>
      <c r="B60" s="5">
        <f t="shared" ref="B60:M60" si="26">(B59)+(0)</f>
        <v>-2015.6200000000003</v>
      </c>
      <c r="C60" s="5">
        <f t="shared" si="26"/>
        <v>-2757.06</v>
      </c>
      <c r="D60" s="5">
        <f t="shared" si="26"/>
        <v>-5005.25</v>
      </c>
      <c r="E60" s="5">
        <f t="shared" si="26"/>
        <v>-2725.14</v>
      </c>
      <c r="F60" s="5">
        <f t="shared" si="26"/>
        <v>51742.850000000006</v>
      </c>
      <c r="G60" s="5">
        <f t="shared" si="26"/>
        <v>-5.9899999999997817</v>
      </c>
      <c r="H60" s="5">
        <f t="shared" si="26"/>
        <v>-310.86999999999989</v>
      </c>
      <c r="I60" s="5">
        <f t="shared" si="26"/>
        <v>1335.4399999999996</v>
      </c>
      <c r="J60" s="5">
        <f t="shared" si="26"/>
        <v>2468.5499999999993</v>
      </c>
      <c r="K60" s="5">
        <f t="shared" si="26"/>
        <v>2385.7200000000003</v>
      </c>
      <c r="L60" s="5">
        <f t="shared" si="26"/>
        <v>23610.43</v>
      </c>
      <c r="M60" s="5">
        <f t="shared" si="26"/>
        <v>75560.639999999999</v>
      </c>
      <c r="N60" s="11"/>
      <c r="O60" s="5">
        <f>(((((((((((B60)+(C60))+(D60))+(E60))+(F60))+(G60))+(H60))+(I60))+(J60))+(K60))+(L60))+(M60)</f>
        <v>144283.70000000001</v>
      </c>
      <c r="P60" s="19">
        <f>O60/12</f>
        <v>12023.641666666668</v>
      </c>
      <c r="Q60" s="19">
        <f>SUM(K60:M60)/3</f>
        <v>33852.263333333336</v>
      </c>
      <c r="S60" s="5">
        <f t="shared" ref="S60" si="27">(S59)+(0)</f>
        <v>-961209.49</v>
      </c>
      <c r="T60" s="8">
        <f>S60/12</f>
        <v>-80100.790833333333</v>
      </c>
    </row>
    <row r="61" spans="1:21" x14ac:dyDescent="0.25">
      <c r="A61" s="3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4" spans="1:21" x14ac:dyDescent="0.25">
      <c r="A64" s="38" t="s">
        <v>59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</row>
  </sheetData>
  <mergeCells count="7">
    <mergeCell ref="A64:O64"/>
    <mergeCell ref="A1:O1"/>
    <mergeCell ref="A2:O2"/>
    <mergeCell ref="A3:O3"/>
    <mergeCell ref="S1:V1"/>
    <mergeCell ref="S2:V2"/>
    <mergeCell ref="S3:V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 Budget</vt:lpstr>
      <vt:lpstr>Statement of Activity by Month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Charles Cooper</cp:lastModifiedBy>
  <dcterms:created xsi:type="dcterms:W3CDTF">2023-05-09T15:24:33Z</dcterms:created>
  <dcterms:modified xsi:type="dcterms:W3CDTF">2023-07-14T18:19:45Z</dcterms:modified>
</cp:coreProperties>
</file>