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lcourttheatrerestore/Documents/Stephanie/Financials/Budgets/Budget 2022/"/>
    </mc:Choice>
  </mc:AlternateContent>
  <xr:revisionPtr revIDLastSave="0" documentId="8_{92127689-E2FE-5C4F-B404-7B35C9EE2189}" xr6:coauthVersionLast="47" xr6:coauthVersionMax="47" xr10:uidLastSave="{00000000-0000-0000-0000-000000000000}"/>
  <bookViews>
    <workbookView xWindow="0" yWindow="2280" windowWidth="2156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3" i="1" l="1"/>
  <c r="G109" i="1"/>
  <c r="F124" i="1"/>
  <c r="F121" i="1"/>
  <c r="F113" i="1"/>
  <c r="F119" i="1"/>
  <c r="F110" i="1"/>
  <c r="F109" i="1" s="1"/>
  <c r="F104" i="1"/>
  <c r="F102" i="1"/>
  <c r="F100" i="1" s="1"/>
  <c r="F87" i="1"/>
  <c r="F86" i="1" s="1"/>
  <c r="F70" i="1"/>
  <c r="F52" i="1"/>
  <c r="F46" i="1"/>
  <c r="F47" i="1"/>
  <c r="F42" i="1"/>
  <c r="F59" i="1"/>
  <c r="F58" i="1" s="1"/>
  <c r="F60" i="1"/>
  <c r="F34" i="1"/>
  <c r="F32" i="1" s="1"/>
  <c r="F77" i="1"/>
  <c r="F78" i="1"/>
  <c r="F64" i="1"/>
  <c r="F94" i="1" s="1"/>
  <c r="F16" i="1"/>
  <c r="F20" i="1"/>
  <c r="F17" i="1" s="1"/>
  <c r="F14" i="1"/>
  <c r="F8" i="1" s="1"/>
  <c r="F23" i="1"/>
  <c r="F22" i="1" s="1"/>
  <c r="G12" i="1"/>
  <c r="H51" i="1"/>
  <c r="F125" i="1" l="1"/>
  <c r="F126" i="1" s="1"/>
  <c r="F96" i="1"/>
  <c r="F15" i="1"/>
  <c r="F28" i="1"/>
  <c r="E118" i="1"/>
  <c r="E102" i="1"/>
  <c r="E110" i="1"/>
  <c r="E53" i="1"/>
  <c r="E47" i="1"/>
  <c r="E62" i="1"/>
  <c r="E59" i="1"/>
  <c r="E60" i="1"/>
  <c r="E38" i="1"/>
  <c r="E82" i="1"/>
  <c r="E25" i="1"/>
  <c r="E17" i="1"/>
  <c r="E78" i="1" l="1"/>
  <c r="G86" i="1" l="1"/>
  <c r="G70" i="1"/>
  <c r="G58" i="1"/>
  <c r="G46" i="1"/>
  <c r="H68" i="1" l="1"/>
  <c r="E23" i="1" l="1"/>
  <c r="H112" i="1" l="1"/>
  <c r="G23" i="1"/>
  <c r="G11" i="1" s="1"/>
  <c r="G100" i="1"/>
  <c r="G104" i="1"/>
  <c r="G31" i="1"/>
  <c r="H31" i="1" s="1"/>
  <c r="G42" i="1"/>
  <c r="G69" i="1"/>
  <c r="G64" i="1" s="1"/>
  <c r="G79" i="1"/>
  <c r="H79" i="1" s="1"/>
  <c r="G80" i="1"/>
  <c r="E100" i="1"/>
  <c r="E104" i="1"/>
  <c r="E109" i="1"/>
  <c r="E8" i="1"/>
  <c r="E15" i="1"/>
  <c r="E22" i="1"/>
  <c r="E34" i="1"/>
  <c r="E32" i="1" s="1"/>
  <c r="E42" i="1"/>
  <c r="H47" i="1"/>
  <c r="E46" i="1"/>
  <c r="E52" i="1"/>
  <c r="E58" i="1"/>
  <c r="H58" i="1" s="1"/>
  <c r="E64" i="1"/>
  <c r="H74" i="1"/>
  <c r="E70" i="1"/>
  <c r="E77" i="1"/>
  <c r="E86" i="1"/>
  <c r="E119" i="1"/>
  <c r="H116" i="1"/>
  <c r="H118" i="1"/>
  <c r="H108" i="1"/>
  <c r="H110" i="1"/>
  <c r="H111" i="1"/>
  <c r="H107" i="1"/>
  <c r="H106" i="1"/>
  <c r="H105" i="1"/>
  <c r="H103" i="1"/>
  <c r="H102" i="1"/>
  <c r="H101" i="1"/>
  <c r="H9" i="1"/>
  <c r="H10" i="1"/>
  <c r="H13" i="1"/>
  <c r="H14" i="1"/>
  <c r="H27" i="1"/>
  <c r="H40" i="1"/>
  <c r="H41" i="1"/>
  <c r="H56" i="1"/>
  <c r="H57" i="1"/>
  <c r="H63" i="1"/>
  <c r="H71" i="1"/>
  <c r="H72" i="1"/>
  <c r="H73" i="1"/>
  <c r="H75" i="1"/>
  <c r="H76" i="1"/>
  <c r="H85" i="1"/>
  <c r="H87" i="1"/>
  <c r="H88" i="1"/>
  <c r="H89" i="1"/>
  <c r="H90" i="1"/>
  <c r="H91" i="1"/>
  <c r="H92" i="1"/>
  <c r="H93" i="1"/>
  <c r="H84" i="1"/>
  <c r="H83" i="1"/>
  <c r="H82" i="1"/>
  <c r="H81" i="1"/>
  <c r="H67" i="1"/>
  <c r="H65" i="1"/>
  <c r="H62" i="1"/>
  <c r="H61" i="1"/>
  <c r="H60" i="1"/>
  <c r="H59" i="1"/>
  <c r="H55" i="1"/>
  <c r="H53" i="1"/>
  <c r="H50" i="1"/>
  <c r="H49" i="1"/>
  <c r="H48" i="1"/>
  <c r="H45" i="1"/>
  <c r="H44" i="1"/>
  <c r="H43" i="1"/>
  <c r="H39" i="1"/>
  <c r="H26" i="1"/>
  <c r="H25" i="1"/>
  <c r="H24" i="1"/>
  <c r="H21" i="1"/>
  <c r="G78" i="1" l="1"/>
  <c r="G77" i="1" s="1"/>
  <c r="H77" i="1" s="1"/>
  <c r="H64" i="1"/>
  <c r="H23" i="1"/>
  <c r="H12" i="1"/>
  <c r="G117" i="1"/>
  <c r="H66" i="1"/>
  <c r="H109" i="1"/>
  <c r="H104" i="1"/>
  <c r="H100" i="1"/>
  <c r="H46" i="1"/>
  <c r="H42" i="1"/>
  <c r="G22" i="1"/>
  <c r="H22" i="1" s="1"/>
  <c r="H86" i="1"/>
  <c r="H70" i="1"/>
  <c r="E94" i="1"/>
  <c r="E125" i="1" s="1"/>
  <c r="E28" i="1"/>
  <c r="H69" i="1"/>
  <c r="E113" i="1"/>
  <c r="H80" i="1"/>
  <c r="H78" i="1" s="1"/>
  <c r="H117" i="1" l="1"/>
  <c r="H119" i="1" s="1"/>
  <c r="G119" i="1"/>
  <c r="G121" i="1" s="1"/>
  <c r="H11" i="1"/>
  <c r="H8" i="1" s="1"/>
  <c r="H113" i="1"/>
  <c r="G8" i="1"/>
  <c r="E96" i="1"/>
  <c r="E124" i="1"/>
  <c r="E126" i="1" s="1"/>
  <c r="E121" i="1"/>
  <c r="G16" i="1" l="1"/>
  <c r="G20" i="1"/>
  <c r="G37" i="1" s="1"/>
  <c r="H37" i="1" s="1"/>
  <c r="G19" i="1"/>
  <c r="H19" i="1" s="1"/>
  <c r="G18" i="1"/>
  <c r="G35" i="1" s="1"/>
  <c r="G33" i="1" l="1"/>
  <c r="H16" i="1"/>
  <c r="G17" i="1"/>
  <c r="H17" i="1" s="1"/>
  <c r="H20" i="1"/>
  <c r="G38" i="1"/>
  <c r="H38" i="1" s="1"/>
  <c r="G36" i="1"/>
  <c r="H36" i="1" s="1"/>
  <c r="H18" i="1"/>
  <c r="H35" i="1"/>
  <c r="H33" i="1" l="1"/>
  <c r="G15" i="1"/>
  <c r="G34" i="1"/>
  <c r="G32" i="1" s="1"/>
  <c r="H34" i="1"/>
  <c r="G28" i="1" l="1"/>
  <c r="G124" i="1" s="1"/>
  <c r="G54" i="1"/>
  <c r="G52" i="1" s="1"/>
  <c r="H15" i="1"/>
  <c r="H28" i="1" s="1"/>
  <c r="G94" i="1" l="1"/>
  <c r="H52" i="1"/>
  <c r="H54" i="1"/>
  <c r="G125" i="1" l="1"/>
  <c r="G96" i="1"/>
  <c r="H32" i="1"/>
  <c r="H94" i="1" s="1"/>
  <c r="H96" i="1" s="1"/>
  <c r="G126" i="1" l="1"/>
</calcChain>
</file>

<file path=xl/sharedStrings.xml><?xml version="1.0" encoding="utf-8"?>
<sst xmlns="http://schemas.openxmlformats.org/spreadsheetml/2006/main" count="156" uniqueCount="133">
  <si>
    <t>BELCOURT THEATRE</t>
  </si>
  <si>
    <t xml:space="preserve">Budget </t>
  </si>
  <si>
    <t>Variance</t>
  </si>
  <si>
    <t>Notes</t>
  </si>
  <si>
    <t>OPERATIONS</t>
  </si>
  <si>
    <t>Revenue</t>
  </si>
  <si>
    <t>A</t>
  </si>
  <si>
    <t>Programming:</t>
  </si>
  <si>
    <t>B</t>
  </si>
  <si>
    <t>Film</t>
  </si>
  <si>
    <t>C</t>
  </si>
  <si>
    <t>Childrens</t>
  </si>
  <si>
    <t>D</t>
  </si>
  <si>
    <t>Presevation Fees</t>
  </si>
  <si>
    <t>Rent: Programming (L)</t>
  </si>
  <si>
    <t>Service Fees</t>
  </si>
  <si>
    <t>T</t>
  </si>
  <si>
    <t>Education</t>
    <phoneticPr fontId="0" type="noConversion"/>
  </si>
  <si>
    <t>E</t>
  </si>
  <si>
    <t>Events/Other</t>
  </si>
  <si>
    <t>F</t>
  </si>
  <si>
    <t>Concessions:</t>
  </si>
  <si>
    <t>G</t>
  </si>
  <si>
    <t>Food</t>
  </si>
  <si>
    <t>Programming (A)</t>
  </si>
  <si>
    <t>Beverage:</t>
  </si>
  <si>
    <t>H</t>
  </si>
  <si>
    <t>Non-Alcoholic</t>
  </si>
  <si>
    <t>I</t>
  </si>
  <si>
    <t>Beer</t>
  </si>
  <si>
    <t>J</t>
  </si>
  <si>
    <t>K</t>
  </si>
  <si>
    <t>Merchandise</t>
  </si>
  <si>
    <t>Rent:</t>
  </si>
  <si>
    <t>L</t>
  </si>
  <si>
    <t>M</t>
  </si>
  <si>
    <t>Rent</t>
  </si>
  <si>
    <t>In-House Services</t>
  </si>
  <si>
    <t>Parking</t>
  </si>
  <si>
    <t>Miscellaneous</t>
  </si>
  <si>
    <t>Expenses</t>
  </si>
  <si>
    <t>Box Office</t>
  </si>
  <si>
    <t>Food (G)</t>
  </si>
  <si>
    <t>Non-Alcoholic (H)</t>
  </si>
  <si>
    <t>Beer (I)</t>
  </si>
  <si>
    <t>Liquor (J)</t>
  </si>
  <si>
    <t>Supplies</t>
  </si>
  <si>
    <t>Concessions (G, H, I ,J)</t>
  </si>
  <si>
    <t>Depreciation</t>
  </si>
  <si>
    <t>Dues &amp; Subscriptions</t>
  </si>
  <si>
    <t>Equipment:</t>
  </si>
  <si>
    <t>Purchased</t>
  </si>
  <si>
    <t>Rental</t>
  </si>
  <si>
    <t>Repairs &amp; Maintenance</t>
  </si>
  <si>
    <t>Facility:</t>
  </si>
  <si>
    <t>Janitorial</t>
  </si>
  <si>
    <t>Materials</t>
  </si>
  <si>
    <t>Pest Control</t>
  </si>
  <si>
    <t>Storage</t>
  </si>
  <si>
    <t>Financial:</t>
  </si>
  <si>
    <t>Bank</t>
  </si>
  <si>
    <t>Credit Cards</t>
  </si>
  <si>
    <t>Prog, Conc, Memb (A, F, U)</t>
  </si>
  <si>
    <t>Interest &amp; Penalties</t>
  </si>
  <si>
    <t>Insurance</t>
  </si>
  <si>
    <t>Marketing:</t>
  </si>
  <si>
    <t>Newspapers &amp; Radio</t>
  </si>
  <si>
    <t>Printing &amp; Mailing</t>
  </si>
  <si>
    <t>Website</t>
  </si>
  <si>
    <t>Other</t>
  </si>
  <si>
    <t>Office</t>
  </si>
  <si>
    <t>Payroll:</t>
  </si>
  <si>
    <t>R</t>
  </si>
  <si>
    <t>Salary</t>
  </si>
  <si>
    <t>S</t>
  </si>
  <si>
    <t>Hourly</t>
  </si>
  <si>
    <t>Programming: Film (B)</t>
  </si>
  <si>
    <t>Benefits</t>
  </si>
  <si>
    <t>Payroll Taxes</t>
  </si>
  <si>
    <t>Payroll (R, S)</t>
  </si>
  <si>
    <t>Professional Service:</t>
  </si>
  <si>
    <t>Accounting</t>
  </si>
  <si>
    <t>Marketing &amp; PR</t>
  </si>
  <si>
    <t>Education</t>
  </si>
  <si>
    <t>Payroll Service</t>
  </si>
  <si>
    <t>Film:</t>
  </si>
  <si>
    <t>Delivery</t>
  </si>
  <si>
    <t>Distributor</t>
  </si>
  <si>
    <t>Misc</t>
  </si>
  <si>
    <t>Promotion</t>
  </si>
  <si>
    <t>Travel, Meals &amp; Entertainment</t>
  </si>
  <si>
    <t>Utilities:</t>
  </si>
  <si>
    <t>Dumpster</t>
  </si>
  <si>
    <t>Electric</t>
  </si>
  <si>
    <t>Gas</t>
  </si>
  <si>
    <t>Security</t>
  </si>
  <si>
    <t>Telephone</t>
  </si>
  <si>
    <t>Internet</t>
  </si>
  <si>
    <t>Water</t>
  </si>
  <si>
    <t>Operations</t>
  </si>
  <si>
    <t>FUNDRAISING</t>
  </si>
  <si>
    <t>Events:</t>
  </si>
  <si>
    <t>Red Carpet Sponsorships</t>
  </si>
  <si>
    <t>Contributions:</t>
  </si>
  <si>
    <t>Contribs/Sponsorships</t>
  </si>
  <si>
    <t>Capital Campaign</t>
  </si>
  <si>
    <t>Annual Campaign</t>
  </si>
  <si>
    <t>Grants</t>
  </si>
  <si>
    <t>U</t>
  </si>
  <si>
    <t>Memberships</t>
  </si>
  <si>
    <t>Standard Memberships</t>
  </si>
  <si>
    <t>Hillsboro Society</t>
  </si>
  <si>
    <t>Membership</t>
  </si>
  <si>
    <t>Membership (U)</t>
  </si>
  <si>
    <t>Fundraising</t>
  </si>
  <si>
    <t>Totals:</t>
  </si>
  <si>
    <t>Percentage</t>
  </si>
  <si>
    <t>Staff Development</t>
  </si>
  <si>
    <t>Red Carpet Auction</t>
  </si>
  <si>
    <t>Red Carpet Contribs &amp; Tickets</t>
  </si>
  <si>
    <t>Red Carpet Evening</t>
  </si>
  <si>
    <t>Wine &amp; Liquor</t>
  </si>
  <si>
    <t>Licenses &amp; Permits</t>
  </si>
  <si>
    <t>Programming (B, C, D, T, E)</t>
  </si>
  <si>
    <t>Bonus Pool</t>
  </si>
  <si>
    <t>Acutal</t>
  </si>
  <si>
    <t>Programming (B, C, T)</t>
  </si>
  <si>
    <t>Actual</t>
  </si>
  <si>
    <t>Includes voucher write-off for 21</t>
  </si>
  <si>
    <t>Actual in 2021 totals</t>
  </si>
  <si>
    <t>Covid Funding: PPP/SVOG/ERTC</t>
  </si>
  <si>
    <t>Estimate '21 (B)</t>
  </si>
  <si>
    <t>2022 Operating Budget,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</si>
</sst>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3" x14ac:knownFonts="1"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0"/>
      <name val="Arial"/>
      <family val="2"/>
    </font>
    <font>
      <sz val="10"/>
      <color rgb="FF1A1FC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7" fontId="1" fillId="0" borderId="0" xfId="0" applyNumberFormat="1" applyFont="1" applyBorder="1"/>
    <xf numFmtId="0" fontId="2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0" fontId="1" fillId="0" borderId="0" xfId="0" applyNumberFormat="1" applyFont="1" applyBorder="1"/>
    <xf numFmtId="37" fontId="1" fillId="0" borderId="1" xfId="0" applyNumberFormat="1" applyFont="1" applyBorder="1"/>
    <xf numFmtId="37" fontId="4" fillId="0" borderId="2" xfId="0" applyNumberFormat="1" applyFont="1" applyBorder="1" applyAlignment="1">
      <alignment horizontal="right"/>
    </xf>
    <xf numFmtId="37" fontId="4" fillId="0" borderId="2" xfId="0" applyNumberFormat="1" applyFont="1" applyFill="1" applyBorder="1"/>
    <xf numFmtId="37" fontId="3" fillId="0" borderId="2" xfId="0" applyNumberFormat="1" applyFont="1" applyFill="1" applyBorder="1"/>
    <xf numFmtId="37" fontId="1" fillId="0" borderId="2" xfId="0" applyNumberFormat="1" applyFont="1" applyBorder="1"/>
    <xf numFmtId="37" fontId="1" fillId="0" borderId="2" xfId="0" applyNumberFormat="1" applyFont="1" applyFill="1" applyBorder="1"/>
    <xf numFmtId="37" fontId="4" fillId="0" borderId="2" xfId="0" applyNumberFormat="1" applyFont="1" applyBorder="1"/>
    <xf numFmtId="0" fontId="1" fillId="0" borderId="0" xfId="0" applyFont="1" applyFill="1" applyBorder="1"/>
    <xf numFmtId="37" fontId="5" fillId="0" borderId="2" xfId="0" applyNumberFormat="1" applyFont="1" applyBorder="1"/>
    <xf numFmtId="37" fontId="5" fillId="0" borderId="2" xfId="0" applyNumberFormat="1" applyFont="1" applyFill="1" applyBorder="1"/>
    <xf numFmtId="37" fontId="1" fillId="0" borderId="3" xfId="0" applyNumberFormat="1" applyFont="1" applyBorder="1"/>
    <xf numFmtId="37" fontId="1" fillId="0" borderId="4" xfId="0" applyNumberFormat="1" applyFont="1" applyBorder="1"/>
    <xf numFmtId="37" fontId="4" fillId="0" borderId="1" xfId="0" applyNumberFormat="1" applyFont="1" applyBorder="1"/>
    <xf numFmtId="37" fontId="5" fillId="0" borderId="1" xfId="0" applyNumberFormat="1" applyFont="1" applyBorder="1"/>
    <xf numFmtId="37" fontId="4" fillId="0" borderId="1" xfId="0" applyNumberFormat="1" applyFont="1" applyFill="1" applyBorder="1"/>
    <xf numFmtId="37" fontId="3" fillId="0" borderId="1" xfId="0" applyNumberFormat="1" applyFont="1" applyFill="1" applyBorder="1"/>
    <xf numFmtId="37" fontId="3" fillId="0" borderId="1" xfId="0" applyNumberFormat="1" applyFont="1" applyBorder="1"/>
    <xf numFmtId="0" fontId="1" fillId="0" borderId="2" xfId="0" applyFont="1" applyBorder="1"/>
    <xf numFmtId="37" fontId="5" fillId="0" borderId="1" xfId="0" applyNumberFormat="1" applyFont="1" applyFill="1" applyBorder="1"/>
    <xf numFmtId="37" fontId="6" fillId="0" borderId="0" xfId="0" applyNumberFormat="1" applyFont="1" applyBorder="1"/>
    <xf numFmtId="37" fontId="1" fillId="0" borderId="1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37" fontId="7" fillId="0" borderId="2" xfId="0" applyNumberFormat="1" applyFont="1" applyBorder="1"/>
    <xf numFmtId="0" fontId="7" fillId="0" borderId="0" xfId="0" applyFont="1" applyBorder="1"/>
    <xf numFmtId="0" fontId="7" fillId="0" borderId="0" xfId="0" applyFont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37" fontId="7" fillId="0" borderId="2" xfId="0" applyNumberFormat="1" applyFont="1" applyFill="1" applyBorder="1"/>
    <xf numFmtId="37" fontId="7" fillId="0" borderId="1" xfId="0" applyNumberFormat="1" applyFont="1" applyFill="1" applyBorder="1"/>
    <xf numFmtId="37" fontId="7" fillId="0" borderId="1" xfId="0" applyNumberFormat="1" applyFont="1" applyBorder="1"/>
    <xf numFmtId="37" fontId="7" fillId="0" borderId="3" xfId="0" applyNumberFormat="1" applyFont="1" applyBorder="1"/>
    <xf numFmtId="0" fontId="1" fillId="0" borderId="0" xfId="0" applyFont="1" applyBorder="1"/>
    <xf numFmtId="37" fontId="10" fillId="0" borderId="2" xfId="0" applyNumberFormat="1" applyFont="1" applyBorder="1"/>
    <xf numFmtId="37" fontId="11" fillId="0" borderId="2" xfId="0" applyNumberFormat="1" applyFont="1" applyFill="1" applyBorder="1"/>
    <xf numFmtId="37" fontId="12" fillId="0" borderId="2" xfId="0" applyNumberFormat="1" applyFont="1" applyFill="1" applyBorder="1"/>
    <xf numFmtId="37" fontId="12" fillId="0" borderId="2" xfId="0" applyNumberFormat="1" applyFont="1" applyBorder="1"/>
    <xf numFmtId="37" fontId="5" fillId="0" borderId="0" xfId="0" applyNumberFormat="1" applyFont="1" applyFill="1"/>
    <xf numFmtId="1" fontId="7" fillId="0" borderId="5" xfId="0" applyNumberFormat="1" applyFont="1" applyFill="1" applyBorder="1" applyAlignment="1">
      <alignment horizontal="center" wrapText="1"/>
    </xf>
    <xf numFmtId="10" fontId="10" fillId="0" borderId="0" xfId="0" applyNumberFormat="1" applyFont="1" applyBorder="1"/>
    <xf numFmtId="10" fontId="1" fillId="0" borderId="0" xfId="0" applyNumberFormat="1" applyFont="1" applyFill="1" applyBorder="1"/>
    <xf numFmtId="37" fontId="7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0" xfId="0" applyFont="1" applyFill="1" applyBorder="1"/>
    <xf numFmtId="0" fontId="2" fillId="0" borderId="0" xfId="0" applyFont="1" applyBorder="1"/>
    <xf numFmtId="0" fontId="7" fillId="0" borderId="0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1A1FC2"/>
      <color rgb="FF008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7"/>
  <sheetViews>
    <sheetView tabSelected="1" workbookViewId="0">
      <selection activeCell="B3" sqref="B3"/>
    </sheetView>
  </sheetViews>
  <sheetFormatPr baseColWidth="10" defaultRowHeight="13" x14ac:dyDescent="0.15"/>
  <cols>
    <col min="1" max="1" width="3.6640625" style="34" customWidth="1"/>
    <col min="2" max="3" width="2.1640625" style="34" customWidth="1"/>
    <col min="4" max="4" width="24.33203125" style="34" customWidth="1"/>
    <col min="5" max="5" width="10.1640625" style="34" bestFit="1" customWidth="1"/>
    <col min="6" max="6" width="10.1640625" style="34" customWidth="1"/>
    <col min="7" max="7" width="13.33203125" style="34" customWidth="1"/>
    <col min="8" max="8" width="10.83203125" style="34" customWidth="1"/>
    <col min="9" max="9" width="29.1640625" style="34" customWidth="1"/>
    <col min="10" max="16384" width="10.83203125" style="34"/>
  </cols>
  <sheetData>
    <row r="1" spans="1:10" x14ac:dyDescent="0.15">
      <c r="A1" s="1"/>
      <c r="B1" s="4" t="s">
        <v>0</v>
      </c>
      <c r="C1" s="2"/>
      <c r="D1" s="2"/>
      <c r="E1" s="3"/>
      <c r="F1" s="3"/>
      <c r="G1" s="3"/>
      <c r="H1" s="3"/>
      <c r="I1" s="2"/>
      <c r="J1" s="2"/>
    </row>
    <row r="2" spans="1:10" x14ac:dyDescent="0.15">
      <c r="A2" s="1"/>
      <c r="B2" s="4" t="s">
        <v>132</v>
      </c>
      <c r="C2" s="2"/>
      <c r="D2" s="2"/>
      <c r="E2" s="3"/>
      <c r="F2" s="3"/>
      <c r="G2" s="3"/>
      <c r="H2" s="3"/>
      <c r="I2" s="2"/>
      <c r="J2" s="2"/>
    </row>
    <row r="3" spans="1:10" x14ac:dyDescent="0.15">
      <c r="A3" s="1"/>
      <c r="B3" s="2"/>
      <c r="C3" s="2"/>
      <c r="D3" s="2"/>
      <c r="E3" s="3"/>
      <c r="F3" s="3"/>
      <c r="G3" s="3"/>
      <c r="H3" s="3"/>
      <c r="I3" s="2"/>
      <c r="J3" s="2"/>
    </row>
    <row r="4" spans="1:10" x14ac:dyDescent="0.15">
      <c r="A4" s="5"/>
      <c r="B4" s="5"/>
      <c r="C4" s="5"/>
      <c r="D4" s="5"/>
      <c r="E4" s="35" t="s">
        <v>125</v>
      </c>
      <c r="F4" s="35" t="s">
        <v>127</v>
      </c>
      <c r="G4" s="35" t="s">
        <v>1</v>
      </c>
      <c r="H4" s="5"/>
      <c r="I4" s="5"/>
      <c r="J4" s="5"/>
    </row>
    <row r="5" spans="1:10" ht="15" thickBot="1" x14ac:dyDescent="0.2">
      <c r="A5" s="29"/>
      <c r="B5" s="29"/>
      <c r="C5" s="29"/>
      <c r="D5" s="29"/>
      <c r="E5" s="48">
        <v>2019</v>
      </c>
      <c r="F5" s="48">
        <v>2021</v>
      </c>
      <c r="G5" s="30">
        <v>2022</v>
      </c>
      <c r="H5" s="30" t="s">
        <v>2</v>
      </c>
      <c r="I5" s="31" t="s">
        <v>3</v>
      </c>
      <c r="J5" s="29" t="s">
        <v>116</v>
      </c>
    </row>
    <row r="6" spans="1:10" x14ac:dyDescent="0.15">
      <c r="A6" s="1"/>
      <c r="B6" s="53" t="s">
        <v>4</v>
      </c>
      <c r="C6" s="53"/>
      <c r="D6" s="53"/>
      <c r="E6" s="3"/>
      <c r="F6" s="3"/>
      <c r="G6" s="3"/>
      <c r="H6" s="3"/>
      <c r="I6" s="6"/>
      <c r="J6" s="7"/>
    </row>
    <row r="7" spans="1:10" x14ac:dyDescent="0.15">
      <c r="A7" s="1"/>
      <c r="B7" s="54" t="s">
        <v>5</v>
      </c>
      <c r="C7" s="54"/>
      <c r="D7" s="54"/>
      <c r="E7" s="3"/>
      <c r="F7" s="3"/>
      <c r="G7" s="3"/>
      <c r="H7" s="3"/>
      <c r="I7" s="3"/>
      <c r="J7" s="7"/>
    </row>
    <row r="8" spans="1:10" x14ac:dyDescent="0.15">
      <c r="A8" s="1" t="s">
        <v>6</v>
      </c>
      <c r="B8" s="55" t="s">
        <v>7</v>
      </c>
      <c r="C8" s="55"/>
      <c r="D8" s="55"/>
      <c r="E8" s="8">
        <f>SUM(E9:E14)</f>
        <v>1370926.4300000002</v>
      </c>
      <c r="F8" s="8">
        <f>F9+F10+F11+F12+F13+F14</f>
        <v>715826.06</v>
      </c>
      <c r="G8" s="8">
        <f t="shared" ref="G8" si="0">SUM(G9:G14)</f>
        <v>1216743.5</v>
      </c>
      <c r="H8" s="8">
        <f>SUM(H9:H14)</f>
        <v>-154182.93</v>
      </c>
      <c r="I8" s="3"/>
      <c r="J8" s="7"/>
    </row>
    <row r="9" spans="1:10" x14ac:dyDescent="0.15">
      <c r="A9" s="1" t="s">
        <v>8</v>
      </c>
      <c r="B9" s="2"/>
      <c r="C9" s="56" t="s">
        <v>9</v>
      </c>
      <c r="D9" s="56"/>
      <c r="E9" s="10">
        <v>1273720</v>
      </c>
      <c r="F9" s="10">
        <v>646487.56000000006</v>
      </c>
      <c r="G9" s="11">
        <v>1100000</v>
      </c>
      <c r="H9" s="12">
        <f t="shared" ref="H9:H27" si="1">G9-E9</f>
        <v>-173720</v>
      </c>
      <c r="I9" s="32" t="s">
        <v>131</v>
      </c>
      <c r="J9" s="7"/>
    </row>
    <row r="10" spans="1:10" x14ac:dyDescent="0.15">
      <c r="A10" s="1" t="s">
        <v>10</v>
      </c>
      <c r="B10" s="2"/>
      <c r="C10" s="56" t="s">
        <v>11</v>
      </c>
      <c r="D10" s="56"/>
      <c r="E10" s="10">
        <v>5118.6099999999997</v>
      </c>
      <c r="F10" s="10">
        <v>0</v>
      </c>
      <c r="G10" s="11">
        <v>0</v>
      </c>
      <c r="H10" s="12">
        <f t="shared" si="1"/>
        <v>-5118.6099999999997</v>
      </c>
      <c r="I10" s="13"/>
      <c r="J10" s="7"/>
    </row>
    <row r="11" spans="1:10" x14ac:dyDescent="0.15">
      <c r="A11" s="1" t="s">
        <v>12</v>
      </c>
      <c r="B11" s="2"/>
      <c r="C11" s="2" t="s">
        <v>13</v>
      </c>
      <c r="D11" s="2"/>
      <c r="E11" s="10">
        <v>9620.5</v>
      </c>
      <c r="F11" s="10">
        <v>881.5</v>
      </c>
      <c r="G11" s="10">
        <f>SUM(G23*J11)</f>
        <v>9520</v>
      </c>
      <c r="H11" s="12">
        <f t="shared" si="1"/>
        <v>-100.5</v>
      </c>
      <c r="I11" s="43" t="s">
        <v>14</v>
      </c>
      <c r="J11" s="7">
        <v>6.8000000000000005E-2</v>
      </c>
    </row>
    <row r="12" spans="1:10" x14ac:dyDescent="0.15">
      <c r="A12" s="1"/>
      <c r="B12" s="2"/>
      <c r="C12" s="56" t="s">
        <v>15</v>
      </c>
      <c r="D12" s="56"/>
      <c r="E12" s="10">
        <v>75839.5</v>
      </c>
      <c r="F12" s="10">
        <v>58728.5</v>
      </c>
      <c r="G12" s="14">
        <f>SUM(G9+G13)*J12</f>
        <v>100223.5</v>
      </c>
      <c r="H12" s="12">
        <f t="shared" si="1"/>
        <v>24384</v>
      </c>
      <c r="I12" s="43" t="s">
        <v>126</v>
      </c>
      <c r="J12" s="7">
        <v>9.0700000000000003E-2</v>
      </c>
    </row>
    <row r="13" spans="1:10" x14ac:dyDescent="0.15">
      <c r="A13" s="36" t="s">
        <v>16</v>
      </c>
      <c r="B13" s="2"/>
      <c r="C13" s="2" t="s">
        <v>17</v>
      </c>
      <c r="D13" s="2"/>
      <c r="E13" s="10">
        <v>5744</v>
      </c>
      <c r="F13" s="10">
        <v>543</v>
      </c>
      <c r="G13" s="14">
        <v>5000</v>
      </c>
      <c r="H13" s="12">
        <f t="shared" si="1"/>
        <v>-744</v>
      </c>
      <c r="I13" s="12"/>
      <c r="J13" s="7"/>
    </row>
    <row r="14" spans="1:10" x14ac:dyDescent="0.15">
      <c r="A14" s="1" t="s">
        <v>18</v>
      </c>
      <c r="B14" s="2"/>
      <c r="C14" s="56" t="s">
        <v>19</v>
      </c>
      <c r="D14" s="56"/>
      <c r="E14" s="10">
        <v>883.82</v>
      </c>
      <c r="F14" s="10">
        <f>282+8903.5</f>
        <v>9185.5</v>
      </c>
      <c r="G14" s="11">
        <v>2000</v>
      </c>
      <c r="H14" s="12">
        <f t="shared" si="1"/>
        <v>1116.1799999999998</v>
      </c>
      <c r="I14" s="12" t="s">
        <v>128</v>
      </c>
      <c r="J14" s="7"/>
    </row>
    <row r="15" spans="1:10" x14ac:dyDescent="0.15">
      <c r="A15" s="1" t="s">
        <v>20</v>
      </c>
      <c r="B15" s="57" t="s">
        <v>21</v>
      </c>
      <c r="C15" s="57"/>
      <c r="D15" s="57"/>
      <c r="E15" s="45">
        <f>SUM(E16:E17,E21)</f>
        <v>642724.54</v>
      </c>
      <c r="F15" s="45">
        <f>F16+F17+F21</f>
        <v>328168.65999999997</v>
      </c>
      <c r="G15" s="46">
        <f>G16+G17+G21</f>
        <v>551968.06200000003</v>
      </c>
      <c r="H15" s="12">
        <f t="shared" si="1"/>
        <v>-90756.478000000003</v>
      </c>
      <c r="I15" s="12"/>
      <c r="J15" s="7"/>
    </row>
    <row r="16" spans="1:10" x14ac:dyDescent="0.15">
      <c r="A16" s="1" t="s">
        <v>22</v>
      </c>
      <c r="B16" s="15"/>
      <c r="C16" s="52" t="s">
        <v>23</v>
      </c>
      <c r="D16" s="52"/>
      <c r="E16" s="10">
        <v>279033</v>
      </c>
      <c r="F16" s="10">
        <f>138154.42+1839.33</f>
        <v>139993.75</v>
      </c>
      <c r="G16" s="14">
        <f>G8*J16</f>
        <v>237873.35425</v>
      </c>
      <c r="H16" s="12">
        <f t="shared" si="1"/>
        <v>-41159.645749999996</v>
      </c>
      <c r="I16" s="12" t="s">
        <v>24</v>
      </c>
      <c r="J16" s="7">
        <v>0.19550000000000001</v>
      </c>
    </row>
    <row r="17" spans="1:10" x14ac:dyDescent="0.15">
      <c r="A17" s="1"/>
      <c r="B17" s="15"/>
      <c r="C17" s="52" t="s">
        <v>25</v>
      </c>
      <c r="D17" s="52"/>
      <c r="E17" s="44">
        <f>SUM(E18:E20)</f>
        <v>362277.36</v>
      </c>
      <c r="F17" s="44">
        <f>F18+F19+F20+3678.66</f>
        <v>187464.61</v>
      </c>
      <c r="G17" s="44">
        <f>G18+G19+G20</f>
        <v>312094.70775</v>
      </c>
      <c r="H17" s="12">
        <f t="shared" si="1"/>
        <v>-50182.652249999985</v>
      </c>
      <c r="I17" s="12"/>
      <c r="J17" s="7"/>
    </row>
    <row r="18" spans="1:10" x14ac:dyDescent="0.15">
      <c r="A18" s="1" t="s">
        <v>26</v>
      </c>
      <c r="B18" s="15"/>
      <c r="C18" s="15"/>
      <c r="D18" s="15" t="s">
        <v>27</v>
      </c>
      <c r="E18" s="17">
        <v>127533.36</v>
      </c>
      <c r="F18" s="17">
        <v>58386.64</v>
      </c>
      <c r="G18" s="16">
        <f>G8*J18</f>
        <v>99164.595249999998</v>
      </c>
      <c r="H18" s="12">
        <f t="shared" si="1"/>
        <v>-28368.764750000002</v>
      </c>
      <c r="I18" s="12" t="s">
        <v>24</v>
      </c>
      <c r="J18" s="7">
        <v>8.1500000000000003E-2</v>
      </c>
    </row>
    <row r="19" spans="1:10" x14ac:dyDescent="0.15">
      <c r="A19" s="1" t="s">
        <v>28</v>
      </c>
      <c r="B19" s="15"/>
      <c r="C19" s="15"/>
      <c r="D19" s="15" t="s">
        <v>29</v>
      </c>
      <c r="E19" s="47">
        <v>113290</v>
      </c>
      <c r="F19" s="47">
        <v>63207.32</v>
      </c>
      <c r="G19" s="16">
        <f>G8*J19</f>
        <v>107316.7767</v>
      </c>
      <c r="H19" s="12">
        <f t="shared" si="1"/>
        <v>-5973.2232999999978</v>
      </c>
      <c r="I19" s="12" t="s">
        <v>24</v>
      </c>
      <c r="J19" s="7">
        <v>8.8200000000000001E-2</v>
      </c>
    </row>
    <row r="20" spans="1:10" x14ac:dyDescent="0.15">
      <c r="A20" s="1" t="s">
        <v>30</v>
      </c>
      <c r="B20" s="15"/>
      <c r="C20" s="15"/>
      <c r="D20" s="37" t="s">
        <v>121</v>
      </c>
      <c r="E20" s="17">
        <v>121454</v>
      </c>
      <c r="F20" s="17">
        <f>56191.99+6000</f>
        <v>62191.99</v>
      </c>
      <c r="G20" s="16">
        <f>G8*J20</f>
        <v>105613.3358</v>
      </c>
      <c r="H20" s="12">
        <f t="shared" si="1"/>
        <v>-15840.664199999999</v>
      </c>
      <c r="I20" s="12" t="s">
        <v>24</v>
      </c>
      <c r="J20" s="7">
        <v>8.6800000000000002E-2</v>
      </c>
    </row>
    <row r="21" spans="1:10" x14ac:dyDescent="0.15">
      <c r="A21" s="1" t="s">
        <v>31</v>
      </c>
      <c r="B21" s="15"/>
      <c r="C21" s="52" t="s">
        <v>32</v>
      </c>
      <c r="D21" s="52"/>
      <c r="E21" s="10">
        <v>1414.18</v>
      </c>
      <c r="F21" s="10">
        <v>710.3</v>
      </c>
      <c r="G21" s="14">
        <v>2000</v>
      </c>
      <c r="H21" s="12">
        <f t="shared" si="1"/>
        <v>585.81999999999994</v>
      </c>
      <c r="I21" s="12"/>
      <c r="J21" s="7"/>
    </row>
    <row r="22" spans="1:10" x14ac:dyDescent="0.15">
      <c r="A22" s="1"/>
      <c r="B22" s="52" t="s">
        <v>33</v>
      </c>
      <c r="C22" s="52"/>
      <c r="D22" s="15"/>
      <c r="E22" s="12">
        <f>SUM(E23,E26)</f>
        <v>239508.28</v>
      </c>
      <c r="F22" s="12">
        <f>F23+F26</f>
        <v>106404.33</v>
      </c>
      <c r="G22" s="12">
        <f>G23+G26</f>
        <v>216000</v>
      </c>
      <c r="H22" s="12">
        <f t="shared" si="1"/>
        <v>-23508.28</v>
      </c>
      <c r="I22" s="12"/>
      <c r="J22" s="7"/>
    </row>
    <row r="23" spans="1:10" x14ac:dyDescent="0.15">
      <c r="A23" s="1" t="s">
        <v>34</v>
      </c>
      <c r="B23" s="15"/>
      <c r="C23" s="57" t="s">
        <v>7</v>
      </c>
      <c r="D23" s="57"/>
      <c r="E23" s="14">
        <f>SUM(E24:E25)</f>
        <v>160881.19</v>
      </c>
      <c r="F23" s="14">
        <f>F24+F25</f>
        <v>36214.5</v>
      </c>
      <c r="G23" s="14">
        <f>G24+G25</f>
        <v>140000</v>
      </c>
      <c r="H23" s="12">
        <f t="shared" si="1"/>
        <v>-20881.190000000002</v>
      </c>
      <c r="I23" s="12"/>
      <c r="J23" s="7"/>
    </row>
    <row r="24" spans="1:10" x14ac:dyDescent="0.15">
      <c r="A24" s="1" t="s">
        <v>35</v>
      </c>
      <c r="B24" s="15"/>
      <c r="C24" s="15"/>
      <c r="D24" s="37" t="s">
        <v>36</v>
      </c>
      <c r="E24" s="17">
        <v>141195</v>
      </c>
      <c r="F24" s="17">
        <v>31121</v>
      </c>
      <c r="G24" s="17">
        <v>125000</v>
      </c>
      <c r="H24" s="12">
        <f t="shared" si="1"/>
        <v>-16195</v>
      </c>
      <c r="I24" s="12"/>
      <c r="J24" s="7"/>
    </row>
    <row r="25" spans="1:10" x14ac:dyDescent="0.15">
      <c r="A25" s="1"/>
      <c r="B25" s="15"/>
      <c r="C25" s="15"/>
      <c r="D25" s="15" t="s">
        <v>37</v>
      </c>
      <c r="E25" s="17">
        <f>19411.69+274.5</f>
        <v>19686.189999999999</v>
      </c>
      <c r="F25" s="17">
        <v>5093.5</v>
      </c>
      <c r="G25" s="17">
        <v>15000</v>
      </c>
      <c r="H25" s="12">
        <f t="shared" si="1"/>
        <v>-4686.1899999999987</v>
      </c>
      <c r="I25" s="12"/>
      <c r="J25" s="7"/>
    </row>
    <row r="26" spans="1:10" x14ac:dyDescent="0.15">
      <c r="A26" s="1"/>
      <c r="B26" s="15"/>
      <c r="C26" s="57" t="s">
        <v>38</v>
      </c>
      <c r="D26" s="52"/>
      <c r="E26" s="10">
        <v>78627.09</v>
      </c>
      <c r="F26" s="10">
        <v>70189.83</v>
      </c>
      <c r="G26" s="14">
        <v>76000</v>
      </c>
      <c r="H26" s="12">
        <f t="shared" si="1"/>
        <v>-2627.0899999999965</v>
      </c>
      <c r="I26" s="12"/>
      <c r="J26" s="7"/>
    </row>
    <row r="27" spans="1:10" x14ac:dyDescent="0.15">
      <c r="A27" s="1"/>
      <c r="B27" s="56" t="s">
        <v>39</v>
      </c>
      <c r="C27" s="56"/>
      <c r="D27" s="56"/>
      <c r="E27" s="38">
        <v>13326.66</v>
      </c>
      <c r="F27" s="38">
        <v>5506.41</v>
      </c>
      <c r="G27" s="38">
        <v>12000</v>
      </c>
      <c r="H27" s="12">
        <f t="shared" si="1"/>
        <v>-1326.6599999999999</v>
      </c>
      <c r="I27" s="12"/>
      <c r="J27" s="7"/>
    </row>
    <row r="28" spans="1:10" x14ac:dyDescent="0.15">
      <c r="A28" s="1"/>
      <c r="B28" s="2"/>
      <c r="C28" s="2"/>
      <c r="D28" s="2"/>
      <c r="E28" s="19">
        <f>SUM(E8,E15,E22,E27)</f>
        <v>2266485.91</v>
      </c>
      <c r="F28" s="19">
        <f>SUM(F8,F15,F22,F27)</f>
        <v>1155905.46</v>
      </c>
      <c r="G28" s="19">
        <f>G8+G15+G22+G27</f>
        <v>1996711.5619999999</v>
      </c>
      <c r="H28" s="19">
        <f>H8+H15+H22+H27</f>
        <v>-269774.34799999994</v>
      </c>
      <c r="I28" s="12"/>
      <c r="J28" s="7"/>
    </row>
    <row r="29" spans="1:10" x14ac:dyDescent="0.15">
      <c r="A29" s="1"/>
      <c r="B29" s="2"/>
      <c r="C29" s="2"/>
      <c r="D29" s="2"/>
      <c r="E29" s="3"/>
      <c r="F29" s="3"/>
      <c r="G29" s="3"/>
      <c r="H29" s="3"/>
      <c r="I29" s="12"/>
      <c r="J29" s="7"/>
    </row>
    <row r="30" spans="1:10" x14ac:dyDescent="0.15">
      <c r="A30" s="1"/>
      <c r="B30" s="58" t="s">
        <v>40</v>
      </c>
      <c r="C30" s="58"/>
      <c r="D30" s="58"/>
      <c r="E30" s="3"/>
      <c r="F30" s="3"/>
      <c r="G30" s="3"/>
      <c r="H30" s="3"/>
      <c r="I30" s="12"/>
      <c r="J30" s="7"/>
    </row>
    <row r="31" spans="1:10" x14ac:dyDescent="0.15">
      <c r="A31" s="1"/>
      <c r="B31" s="2" t="s">
        <v>41</v>
      </c>
      <c r="C31" s="2"/>
      <c r="D31" s="2"/>
      <c r="E31" s="8">
        <v>124598</v>
      </c>
      <c r="F31" s="8">
        <v>88112</v>
      </c>
      <c r="G31" s="8">
        <f>G9*J31</f>
        <v>103400</v>
      </c>
      <c r="H31" s="12">
        <f>G31-E31</f>
        <v>-21198</v>
      </c>
      <c r="I31" s="43" t="s">
        <v>123</v>
      </c>
      <c r="J31" s="7">
        <v>9.4E-2</v>
      </c>
    </row>
    <row r="32" spans="1:10" x14ac:dyDescent="0.15">
      <c r="A32" s="1"/>
      <c r="B32" s="56" t="s">
        <v>21</v>
      </c>
      <c r="C32" s="56"/>
      <c r="D32" s="56"/>
      <c r="E32" s="12">
        <f>SUM(E33:E34,E38:E39)</f>
        <v>241656.84</v>
      </c>
      <c r="F32" s="12">
        <f>F33+F34+F38+F39</f>
        <v>129245.46</v>
      </c>
      <c r="G32" s="12">
        <f>G33+G34+G38+G39</f>
        <v>216927.22661116</v>
      </c>
      <c r="H32" s="12">
        <f>G32-E32</f>
        <v>-24729.613388839993</v>
      </c>
      <c r="I32" s="12"/>
      <c r="J32" s="7"/>
    </row>
    <row r="33" spans="1:10" x14ac:dyDescent="0.15">
      <c r="A33" s="1"/>
      <c r="B33" s="2"/>
      <c r="C33" s="56" t="s">
        <v>23</v>
      </c>
      <c r="D33" s="56"/>
      <c r="E33" s="10">
        <v>88892.160000000003</v>
      </c>
      <c r="F33" s="22">
        <v>37147.760000000002</v>
      </c>
      <c r="G33" s="20">
        <f>G16*J33</f>
        <v>63107.800882525</v>
      </c>
      <c r="H33" s="12">
        <f>G33-E33</f>
        <v>-25784.359117475004</v>
      </c>
      <c r="I33" s="32" t="s">
        <v>42</v>
      </c>
      <c r="J33" s="7">
        <v>0.26529999999999998</v>
      </c>
    </row>
    <row r="34" spans="1:10" x14ac:dyDescent="0.15">
      <c r="A34" s="1"/>
      <c r="B34" s="2"/>
      <c r="C34" s="56" t="s">
        <v>25</v>
      </c>
      <c r="D34" s="56"/>
      <c r="E34" s="14">
        <f t="shared" ref="E34" si="2">SUM(E35:E37)</f>
        <v>115073.60000000001</v>
      </c>
      <c r="F34" s="14">
        <f>F35+F36+F37</f>
        <v>69467.78</v>
      </c>
      <c r="G34" s="14">
        <f>G35+G36+G37</f>
        <v>117886.396303235</v>
      </c>
      <c r="H34" s="12">
        <f>SUM(H35:H37)</f>
        <v>2812.7963032349944</v>
      </c>
      <c r="I34" s="12"/>
      <c r="J34" s="7"/>
    </row>
    <row r="35" spans="1:10" x14ac:dyDescent="0.15">
      <c r="A35" s="1"/>
      <c r="B35" s="2"/>
      <c r="C35" s="2"/>
      <c r="D35" s="2" t="s">
        <v>27</v>
      </c>
      <c r="E35" s="17">
        <v>28109.27</v>
      </c>
      <c r="F35" s="26">
        <v>18250.400000000001</v>
      </c>
      <c r="G35" s="21">
        <f>G18*J35</f>
        <v>30988.936015625</v>
      </c>
      <c r="H35" s="12">
        <f t="shared" ref="H35:H49" si="3">G35-E35</f>
        <v>2879.666015625</v>
      </c>
      <c r="I35" s="12" t="s">
        <v>43</v>
      </c>
      <c r="J35" s="7">
        <v>0.3125</v>
      </c>
    </row>
    <row r="36" spans="1:10" x14ac:dyDescent="0.15">
      <c r="A36" s="1"/>
      <c r="B36" s="2"/>
      <c r="C36" s="2"/>
      <c r="D36" s="2" t="s">
        <v>29</v>
      </c>
      <c r="E36" s="17">
        <v>41404.230000000003</v>
      </c>
      <c r="F36" s="26">
        <v>25430.65</v>
      </c>
      <c r="G36" s="21">
        <f>G19*J36</f>
        <v>43173.53926641</v>
      </c>
      <c r="H36" s="12">
        <f t="shared" si="3"/>
        <v>1769.3092664099968</v>
      </c>
      <c r="I36" s="12" t="s">
        <v>44</v>
      </c>
      <c r="J36" s="7">
        <v>0.40229999999999999</v>
      </c>
    </row>
    <row r="37" spans="1:10" x14ac:dyDescent="0.15">
      <c r="A37" s="1"/>
      <c r="B37" s="2"/>
      <c r="C37" s="2"/>
      <c r="D37" s="33" t="s">
        <v>121</v>
      </c>
      <c r="E37" s="17">
        <v>45560.1</v>
      </c>
      <c r="F37" s="26">
        <v>25786.73</v>
      </c>
      <c r="G37" s="21">
        <f>G20*J37</f>
        <v>43723.921021199996</v>
      </c>
      <c r="H37" s="12">
        <f t="shared" si="3"/>
        <v>-1836.1789788000024</v>
      </c>
      <c r="I37" s="12" t="s">
        <v>45</v>
      </c>
      <c r="J37" s="49">
        <v>0.41399999999999998</v>
      </c>
    </row>
    <row r="38" spans="1:10" x14ac:dyDescent="0.15">
      <c r="A38" s="1"/>
      <c r="B38" s="2"/>
      <c r="C38" s="56" t="s">
        <v>46</v>
      </c>
      <c r="D38" s="56"/>
      <c r="E38" s="10">
        <f>33991.31+8.8</f>
        <v>34000.11</v>
      </c>
      <c r="F38" s="22">
        <v>20279</v>
      </c>
      <c r="G38" s="20">
        <f>(G16+G18+G19+G20)*J38</f>
        <v>33933.029425399996</v>
      </c>
      <c r="H38" s="12">
        <f t="shared" si="3"/>
        <v>-67.080574600004184</v>
      </c>
      <c r="I38" s="12" t="s">
        <v>47</v>
      </c>
      <c r="J38" s="7">
        <v>6.1699999999999998E-2</v>
      </c>
    </row>
    <row r="39" spans="1:10" x14ac:dyDescent="0.15">
      <c r="A39" s="1"/>
      <c r="B39" s="2"/>
      <c r="C39" s="2" t="s">
        <v>32</v>
      </c>
      <c r="D39" s="2"/>
      <c r="E39" s="20">
        <v>3690.97</v>
      </c>
      <c r="F39" s="20">
        <v>2350.92</v>
      </c>
      <c r="G39" s="20">
        <v>2000</v>
      </c>
      <c r="H39" s="12">
        <f t="shared" si="3"/>
        <v>-1690.9699999999998</v>
      </c>
      <c r="I39" s="12"/>
      <c r="J39" s="7"/>
    </row>
    <row r="40" spans="1:10" x14ac:dyDescent="0.15">
      <c r="A40" s="1"/>
      <c r="B40" s="56" t="s">
        <v>48</v>
      </c>
      <c r="C40" s="56"/>
      <c r="D40" s="56"/>
      <c r="E40" s="39">
        <v>357035</v>
      </c>
      <c r="F40" s="39">
        <v>332274</v>
      </c>
      <c r="G40" s="39">
        <v>332274</v>
      </c>
      <c r="H40" s="12">
        <f t="shared" si="3"/>
        <v>-24761</v>
      </c>
      <c r="I40" s="2"/>
      <c r="J40" s="7"/>
    </row>
    <row r="41" spans="1:10" x14ac:dyDescent="0.15">
      <c r="A41" s="1"/>
      <c r="B41" s="2" t="s">
        <v>49</v>
      </c>
      <c r="C41" s="2"/>
      <c r="D41" s="2"/>
      <c r="E41" s="8">
        <v>10754.28</v>
      </c>
      <c r="F41" s="8">
        <v>10884.94</v>
      </c>
      <c r="G41" s="39">
        <v>10000</v>
      </c>
      <c r="H41" s="12">
        <f t="shared" si="3"/>
        <v>-754.28000000000065</v>
      </c>
      <c r="I41" s="2"/>
      <c r="J41" s="7"/>
    </row>
    <row r="42" spans="1:10" x14ac:dyDescent="0.15">
      <c r="A42" s="1"/>
      <c r="B42" s="56" t="s">
        <v>50</v>
      </c>
      <c r="C42" s="56"/>
      <c r="D42" s="56"/>
      <c r="E42" s="12">
        <f>SUM(E43:E45)</f>
        <v>10003.660000000002</v>
      </c>
      <c r="F42" s="12">
        <f>F43+F44+F45</f>
        <v>9382.94</v>
      </c>
      <c r="G42" s="12">
        <f>G43+G44+G45</f>
        <v>10000</v>
      </c>
      <c r="H42" s="12">
        <f t="shared" si="3"/>
        <v>-3.6600000000016735</v>
      </c>
      <c r="I42" s="2"/>
      <c r="J42" s="7"/>
    </row>
    <row r="43" spans="1:10" x14ac:dyDescent="0.15">
      <c r="A43" s="1"/>
      <c r="B43" s="2"/>
      <c r="C43" s="56" t="s">
        <v>51</v>
      </c>
      <c r="D43" s="56"/>
      <c r="E43" s="22">
        <v>8567.8700000000008</v>
      </c>
      <c r="F43" s="22">
        <v>7104.34</v>
      </c>
      <c r="G43" s="23">
        <v>8500</v>
      </c>
      <c r="H43" s="12">
        <f t="shared" si="3"/>
        <v>-67.8700000000008</v>
      </c>
      <c r="I43" s="2"/>
      <c r="J43" s="7"/>
    </row>
    <row r="44" spans="1:10" x14ac:dyDescent="0.15">
      <c r="A44" s="1"/>
      <c r="B44" s="2"/>
      <c r="C44" s="56" t="s">
        <v>52</v>
      </c>
      <c r="D44" s="56"/>
      <c r="E44" s="22">
        <v>317.04000000000002</v>
      </c>
      <c r="F44" s="22">
        <v>1953.6</v>
      </c>
      <c r="G44" s="23">
        <v>500</v>
      </c>
      <c r="H44" s="12">
        <f t="shared" si="3"/>
        <v>182.95999999999998</v>
      </c>
      <c r="I44" s="2"/>
      <c r="J44" s="7"/>
    </row>
    <row r="45" spans="1:10" x14ac:dyDescent="0.15">
      <c r="A45" s="1"/>
      <c r="B45" s="2"/>
      <c r="C45" s="56" t="s">
        <v>53</v>
      </c>
      <c r="D45" s="56"/>
      <c r="E45" s="22">
        <v>1118.75</v>
      </c>
      <c r="F45" s="22">
        <v>325</v>
      </c>
      <c r="G45" s="23">
        <v>1000</v>
      </c>
      <c r="H45" s="12">
        <f t="shared" si="3"/>
        <v>-118.75</v>
      </c>
      <c r="I45" s="2"/>
      <c r="J45" s="7"/>
    </row>
    <row r="46" spans="1:10" x14ac:dyDescent="0.15">
      <c r="A46" s="1"/>
      <c r="B46" s="56" t="s">
        <v>54</v>
      </c>
      <c r="C46" s="56"/>
      <c r="D46" s="56"/>
      <c r="E46" s="13">
        <f t="shared" ref="E46" si="4">SUM(E47:E51)</f>
        <v>84156.3</v>
      </c>
      <c r="F46" s="13">
        <f>F47+F48+F49+F50+F51</f>
        <v>49420.640000000007</v>
      </c>
      <c r="G46" s="12">
        <f>G47+G48+G49+G50+G51</f>
        <v>82816</v>
      </c>
      <c r="H46" s="12">
        <f t="shared" si="3"/>
        <v>-1340.3000000000029</v>
      </c>
      <c r="I46" s="2"/>
      <c r="J46" s="7"/>
    </row>
    <row r="47" spans="1:10" x14ac:dyDescent="0.15">
      <c r="A47" s="1"/>
      <c r="B47" s="2"/>
      <c r="C47" s="56" t="s">
        <v>55</v>
      </c>
      <c r="D47" s="56"/>
      <c r="E47" s="20">
        <f>23285.08+14784.78</f>
        <v>38069.86</v>
      </c>
      <c r="F47" s="20">
        <f>20945.45+12724.41</f>
        <v>33669.86</v>
      </c>
      <c r="G47" s="23">
        <v>40000</v>
      </c>
      <c r="H47" s="12">
        <f t="shared" si="3"/>
        <v>1930.1399999999994</v>
      </c>
      <c r="I47" s="12"/>
      <c r="J47" s="7"/>
    </row>
    <row r="48" spans="1:10" x14ac:dyDescent="0.15">
      <c r="A48" s="1"/>
      <c r="B48" s="2"/>
      <c r="C48" s="56" t="s">
        <v>56</v>
      </c>
      <c r="D48" s="56"/>
      <c r="E48" s="20">
        <v>19165.32</v>
      </c>
      <c r="F48" s="20">
        <v>4677.26</v>
      </c>
      <c r="G48" s="23">
        <v>19000</v>
      </c>
      <c r="H48" s="12">
        <f>G48-E48</f>
        <v>-165.31999999999971</v>
      </c>
      <c r="I48" s="12"/>
      <c r="J48" s="7"/>
    </row>
    <row r="49" spans="1:10" x14ac:dyDescent="0.15">
      <c r="A49" s="1"/>
      <c r="B49" s="2"/>
      <c r="C49" s="56" t="s">
        <v>57</v>
      </c>
      <c r="D49" s="56"/>
      <c r="E49" s="20">
        <v>1396.76</v>
      </c>
      <c r="F49" s="20">
        <v>1288.6600000000001</v>
      </c>
      <c r="G49" s="23">
        <v>1500</v>
      </c>
      <c r="H49" s="12">
        <f t="shared" si="3"/>
        <v>103.24000000000001</v>
      </c>
      <c r="I49" s="12"/>
      <c r="J49" s="7"/>
    </row>
    <row r="50" spans="1:10" x14ac:dyDescent="0.15">
      <c r="A50" s="1"/>
      <c r="B50" s="2"/>
      <c r="C50" s="56" t="s">
        <v>53</v>
      </c>
      <c r="D50" s="56"/>
      <c r="E50" s="20">
        <v>22616.36</v>
      </c>
      <c r="F50" s="20">
        <v>7641.86</v>
      </c>
      <c r="G50" s="23">
        <v>20000</v>
      </c>
      <c r="H50" s="12">
        <f>G50-E50</f>
        <v>-2616.3600000000006</v>
      </c>
      <c r="I50" s="12"/>
      <c r="J50" s="7"/>
    </row>
    <row r="51" spans="1:10" x14ac:dyDescent="0.15">
      <c r="A51" s="1"/>
      <c r="B51" s="2"/>
      <c r="C51" s="2" t="s">
        <v>58</v>
      </c>
      <c r="D51" s="2"/>
      <c r="E51" s="22">
        <v>2908</v>
      </c>
      <c r="F51" s="22">
        <v>2143</v>
      </c>
      <c r="G51" s="23">
        <v>2316</v>
      </c>
      <c r="H51" s="12">
        <f>G51-E51</f>
        <v>-592</v>
      </c>
      <c r="I51" s="12"/>
      <c r="J51" s="7"/>
    </row>
    <row r="52" spans="1:10" x14ac:dyDescent="0.15">
      <c r="A52" s="1"/>
      <c r="B52" s="52" t="s">
        <v>59</v>
      </c>
      <c r="C52" s="52"/>
      <c r="D52" s="52"/>
      <c r="E52" s="12">
        <f t="shared" ref="E52" si="5">SUM(E53:E55)</f>
        <v>159042.13</v>
      </c>
      <c r="F52" s="12">
        <f>F53+F54+F55</f>
        <v>115970.87</v>
      </c>
      <c r="G52" s="12">
        <f>G53+G54+G55</f>
        <v>143274.75091800001</v>
      </c>
      <c r="H52" s="12">
        <f>G52-E52</f>
        <v>-15767.379081999999</v>
      </c>
      <c r="I52" s="12"/>
      <c r="J52" s="7"/>
    </row>
    <row r="53" spans="1:10" x14ac:dyDescent="0.15">
      <c r="A53" s="1"/>
      <c r="B53" s="2"/>
      <c r="C53" s="56" t="s">
        <v>60</v>
      </c>
      <c r="D53" s="56"/>
      <c r="E53" s="20">
        <f>1500+845.66-1700</f>
        <v>645.65999999999985</v>
      </c>
      <c r="F53" s="20">
        <v>15</v>
      </c>
      <c r="G53" s="23">
        <v>500</v>
      </c>
      <c r="H53" s="12">
        <f t="shared" ref="H53:H57" si="6">G53-E53</f>
        <v>-145.65999999999985</v>
      </c>
      <c r="I53" s="12"/>
      <c r="J53" s="7"/>
    </row>
    <row r="54" spans="1:10" x14ac:dyDescent="0.15">
      <c r="A54" s="1"/>
      <c r="B54" s="2"/>
      <c r="C54" s="56" t="s">
        <v>61</v>
      </c>
      <c r="D54" s="56"/>
      <c r="E54" s="20">
        <v>79092.78</v>
      </c>
      <c r="F54" s="20">
        <v>56801.04</v>
      </c>
      <c r="G54" s="24">
        <f>SUM(G8+G15+G109)*J54</f>
        <v>84774.750917999991</v>
      </c>
      <c r="H54" s="12">
        <f t="shared" si="6"/>
        <v>5681.9709179999918</v>
      </c>
      <c r="I54" s="43" t="s">
        <v>62</v>
      </c>
      <c r="J54" s="7">
        <v>3.9E-2</v>
      </c>
    </row>
    <row r="55" spans="1:10" x14ac:dyDescent="0.15">
      <c r="A55" s="1"/>
      <c r="B55" s="2"/>
      <c r="C55" s="56" t="s">
        <v>63</v>
      </c>
      <c r="D55" s="56"/>
      <c r="E55" s="20">
        <v>79303.69</v>
      </c>
      <c r="F55" s="20">
        <v>59154.83</v>
      </c>
      <c r="G55" s="23">
        <v>58000</v>
      </c>
      <c r="H55" s="12">
        <f t="shared" si="6"/>
        <v>-21303.690000000002</v>
      </c>
      <c r="I55" s="12"/>
      <c r="J55" s="7"/>
    </row>
    <row r="56" spans="1:10" x14ac:dyDescent="0.15">
      <c r="A56" s="1"/>
      <c r="B56" s="56" t="s">
        <v>64</v>
      </c>
      <c r="C56" s="56"/>
      <c r="D56" s="56"/>
      <c r="E56" s="8">
        <v>25241.83</v>
      </c>
      <c r="F56" s="8">
        <v>24550.95</v>
      </c>
      <c r="G56" s="39">
        <v>25000</v>
      </c>
      <c r="H56" s="12">
        <f t="shared" si="6"/>
        <v>-241.83000000000175</v>
      </c>
      <c r="I56" s="12"/>
      <c r="J56" s="7"/>
    </row>
    <row r="57" spans="1:10" x14ac:dyDescent="0.15">
      <c r="A57" s="1"/>
      <c r="B57" s="59" t="s">
        <v>122</v>
      </c>
      <c r="C57" s="56"/>
      <c r="D57" s="56"/>
      <c r="E57" s="8">
        <v>6578.69</v>
      </c>
      <c r="F57" s="8">
        <v>3726.21</v>
      </c>
      <c r="G57" s="39">
        <v>6500</v>
      </c>
      <c r="H57" s="12">
        <f t="shared" si="6"/>
        <v>-78.6899999999996</v>
      </c>
      <c r="I57" s="12"/>
      <c r="J57" s="7"/>
    </row>
    <row r="58" spans="1:10" x14ac:dyDescent="0.15">
      <c r="A58" s="1"/>
      <c r="B58" s="56" t="s">
        <v>65</v>
      </c>
      <c r="C58" s="56"/>
      <c r="D58" s="56"/>
      <c r="E58" s="12">
        <f t="shared" ref="E58" si="7">SUM(E59:E62)</f>
        <v>107648.65999999999</v>
      </c>
      <c r="F58" s="12">
        <f>F59+F60+F61+F62</f>
        <v>101162.55</v>
      </c>
      <c r="G58" s="12">
        <f>G59+G60+G61+G62</f>
        <v>125000</v>
      </c>
      <c r="H58" s="12">
        <f>G58-E58</f>
        <v>17351.340000000011</v>
      </c>
      <c r="I58" s="12"/>
      <c r="J58" s="7"/>
    </row>
    <row r="59" spans="1:10" x14ac:dyDescent="0.15">
      <c r="A59" s="1"/>
      <c r="B59" s="2"/>
      <c r="C59" s="56" t="s">
        <v>66</v>
      </c>
      <c r="D59" s="56"/>
      <c r="E59" s="20">
        <f>46154.99+30286</f>
        <v>76440.989999999991</v>
      </c>
      <c r="F59" s="20">
        <f>16430.62+14009</f>
        <v>30439.62</v>
      </c>
      <c r="G59" s="23">
        <v>75000</v>
      </c>
      <c r="H59" s="12">
        <f t="shared" ref="H59:H62" si="8">G59-E59</f>
        <v>-1440.9899999999907</v>
      </c>
      <c r="I59" s="12"/>
      <c r="J59" s="7"/>
    </row>
    <row r="60" spans="1:10" x14ac:dyDescent="0.15">
      <c r="A60" s="1"/>
      <c r="B60" s="2"/>
      <c r="C60" s="56" t="s">
        <v>67</v>
      </c>
      <c r="D60" s="56"/>
      <c r="E60" s="20">
        <f>5257.5+19656.47</f>
        <v>24913.97</v>
      </c>
      <c r="F60" s="20">
        <f>3428.69+14245.99</f>
        <v>17674.68</v>
      </c>
      <c r="G60" s="23">
        <v>25000</v>
      </c>
      <c r="H60" s="12">
        <f t="shared" si="8"/>
        <v>86.029999999998836</v>
      </c>
      <c r="I60" s="12"/>
      <c r="J60" s="7"/>
    </row>
    <row r="61" spans="1:10" x14ac:dyDescent="0.15">
      <c r="A61" s="1"/>
      <c r="B61" s="2"/>
      <c r="C61" s="56" t="s">
        <v>68</v>
      </c>
      <c r="D61" s="56"/>
      <c r="E61" s="20">
        <v>860.33</v>
      </c>
      <c r="F61" s="20">
        <v>48257.67</v>
      </c>
      <c r="G61" s="23">
        <v>20000</v>
      </c>
      <c r="H61" s="12">
        <f t="shared" si="8"/>
        <v>19139.669999999998</v>
      </c>
      <c r="I61" s="2"/>
      <c r="J61" s="7"/>
    </row>
    <row r="62" spans="1:10" x14ac:dyDescent="0.15">
      <c r="A62" s="1"/>
      <c r="B62" s="2"/>
      <c r="C62" s="56" t="s">
        <v>69</v>
      </c>
      <c r="D62" s="56"/>
      <c r="E62" s="20">
        <f>3065.05+2168.32+200</f>
        <v>5433.3700000000008</v>
      </c>
      <c r="F62" s="20">
        <v>4790.58</v>
      </c>
      <c r="G62" s="23">
        <v>5000</v>
      </c>
      <c r="H62" s="12">
        <f t="shared" si="8"/>
        <v>-433.3700000000008</v>
      </c>
      <c r="I62" s="12"/>
      <c r="J62" s="7"/>
    </row>
    <row r="63" spans="1:10" x14ac:dyDescent="0.15">
      <c r="A63" s="1"/>
      <c r="B63" s="56" t="s">
        <v>70</v>
      </c>
      <c r="C63" s="56"/>
      <c r="D63" s="2"/>
      <c r="E63" s="40">
        <v>25258.19</v>
      </c>
      <c r="F63" s="40">
        <v>19077.2</v>
      </c>
      <c r="G63" s="39">
        <v>25000</v>
      </c>
      <c r="H63" s="12">
        <f>G63-E63</f>
        <v>-258.18999999999869</v>
      </c>
      <c r="I63" s="12"/>
      <c r="J63" s="7"/>
    </row>
    <row r="64" spans="1:10" x14ac:dyDescent="0.15">
      <c r="A64" s="1"/>
      <c r="B64" s="56" t="s">
        <v>71</v>
      </c>
      <c r="C64" s="56"/>
      <c r="D64" s="56"/>
      <c r="E64" s="12">
        <f t="shared" ref="E64" si="9">SUM(E65:E69)</f>
        <v>1396780.52</v>
      </c>
      <c r="F64" s="12">
        <f>F65+F66+F67+F68+F69</f>
        <v>1324564.81</v>
      </c>
      <c r="G64" s="12">
        <f>G65+G66+G67+G69+G68</f>
        <v>1346480.4458030001</v>
      </c>
      <c r="H64" s="12">
        <f>G64-E64</f>
        <v>-50300.074196999893</v>
      </c>
      <c r="I64" s="12"/>
      <c r="J64" s="7"/>
    </row>
    <row r="65" spans="1:11" x14ac:dyDescent="0.15">
      <c r="A65" s="1" t="s">
        <v>72</v>
      </c>
      <c r="B65" s="2"/>
      <c r="C65" s="56" t="s">
        <v>73</v>
      </c>
      <c r="D65" s="56"/>
      <c r="E65" s="20">
        <v>707756.66</v>
      </c>
      <c r="F65" s="20">
        <v>729445.39</v>
      </c>
      <c r="G65" s="23">
        <v>726575</v>
      </c>
      <c r="H65" s="12">
        <f t="shared" ref="H65:H69" si="10">G65-E65</f>
        <v>18818.339999999967</v>
      </c>
      <c r="I65" s="32"/>
      <c r="J65" s="7"/>
    </row>
    <row r="66" spans="1:11" x14ac:dyDescent="0.15">
      <c r="A66" s="1" t="s">
        <v>74</v>
      </c>
      <c r="B66" s="2"/>
      <c r="C66" s="56" t="s">
        <v>75</v>
      </c>
      <c r="D66" s="56"/>
      <c r="E66" s="20">
        <v>462695.39</v>
      </c>
      <c r="F66" s="20">
        <v>376344.39</v>
      </c>
      <c r="G66" s="23">
        <v>395240.39</v>
      </c>
      <c r="H66" s="12">
        <f t="shared" si="10"/>
        <v>-67455</v>
      </c>
      <c r="I66" s="13"/>
      <c r="K66" s="7"/>
    </row>
    <row r="67" spans="1:11" x14ac:dyDescent="0.15">
      <c r="A67" s="1"/>
      <c r="B67" s="2"/>
      <c r="C67" s="56" t="s">
        <v>77</v>
      </c>
      <c r="D67" s="56"/>
      <c r="E67" s="20">
        <v>111040.47</v>
      </c>
      <c r="F67" s="20">
        <v>132777.72</v>
      </c>
      <c r="G67" s="23">
        <v>137500</v>
      </c>
      <c r="H67" s="12">
        <f t="shared" si="10"/>
        <v>26459.53</v>
      </c>
      <c r="I67" s="12"/>
      <c r="J67" s="7"/>
    </row>
    <row r="68" spans="1:11" x14ac:dyDescent="0.15">
      <c r="A68" s="1"/>
      <c r="B68" s="42"/>
      <c r="C68" s="42" t="s">
        <v>124</v>
      </c>
      <c r="D68" s="42"/>
      <c r="E68" s="22">
        <v>25000</v>
      </c>
      <c r="F68" s="22">
        <v>0</v>
      </c>
      <c r="G68" s="23">
        <v>0</v>
      </c>
      <c r="H68" s="12">
        <f t="shared" si="10"/>
        <v>-25000</v>
      </c>
      <c r="I68" s="12" t="s">
        <v>129</v>
      </c>
      <c r="J68" s="7"/>
    </row>
    <row r="69" spans="1:11" x14ac:dyDescent="0.15">
      <c r="A69" s="1"/>
      <c r="B69" s="2"/>
      <c r="C69" s="2" t="s">
        <v>78</v>
      </c>
      <c r="D69" s="2"/>
      <c r="E69" s="20">
        <v>90288</v>
      </c>
      <c r="F69" s="20">
        <v>85997.31</v>
      </c>
      <c r="G69" s="24">
        <f>(G65+G66)*J69</f>
        <v>87165.05580300001</v>
      </c>
      <c r="H69" s="12">
        <f t="shared" si="10"/>
        <v>-3122.9441969999898</v>
      </c>
      <c r="I69" s="32" t="s">
        <v>79</v>
      </c>
      <c r="J69" s="50">
        <v>7.7700000000000005E-2</v>
      </c>
    </row>
    <row r="70" spans="1:11" x14ac:dyDescent="0.15">
      <c r="A70" s="1"/>
      <c r="B70" s="56" t="s">
        <v>80</v>
      </c>
      <c r="C70" s="56"/>
      <c r="D70" s="56"/>
      <c r="E70" s="12">
        <f t="shared" ref="E70:H70" si="11">SUM(E71:E76)</f>
        <v>69907.12</v>
      </c>
      <c r="F70" s="12">
        <f>F71+F72+F73+F74+F75+F76</f>
        <v>56583.95</v>
      </c>
      <c r="G70" s="12">
        <f>SUM(G71:G76)</f>
        <v>63000</v>
      </c>
      <c r="H70" s="12">
        <f t="shared" si="11"/>
        <v>-6907.12</v>
      </c>
      <c r="I70" s="12"/>
    </row>
    <row r="71" spans="1:11" x14ac:dyDescent="0.15">
      <c r="A71" s="1"/>
      <c r="B71" s="2"/>
      <c r="C71" s="59" t="s">
        <v>81</v>
      </c>
      <c r="D71" s="56"/>
      <c r="E71" s="20">
        <v>27180</v>
      </c>
      <c r="F71" s="20">
        <v>26267</v>
      </c>
      <c r="G71" s="23">
        <v>27000</v>
      </c>
      <c r="H71" s="12">
        <f t="shared" ref="H71:H76" si="12">G71-E71</f>
        <v>-180</v>
      </c>
      <c r="I71" s="32"/>
      <c r="J71" s="7"/>
    </row>
    <row r="72" spans="1:11" x14ac:dyDescent="0.15">
      <c r="A72" s="1"/>
      <c r="B72" s="2"/>
      <c r="C72" s="2" t="s">
        <v>82</v>
      </c>
      <c r="D72" s="2"/>
      <c r="E72" s="20">
        <v>18500</v>
      </c>
      <c r="F72" s="20">
        <v>9000</v>
      </c>
      <c r="G72" s="23">
        <v>12000</v>
      </c>
      <c r="H72" s="12">
        <f t="shared" si="12"/>
        <v>-6500</v>
      </c>
      <c r="I72" s="12"/>
      <c r="J72" s="7"/>
    </row>
    <row r="73" spans="1:11" x14ac:dyDescent="0.15">
      <c r="A73" s="1"/>
      <c r="B73" s="2"/>
      <c r="C73" s="2" t="s">
        <v>83</v>
      </c>
      <c r="D73" s="2"/>
      <c r="E73" s="20">
        <v>6364.09</v>
      </c>
      <c r="F73" s="20">
        <v>10900</v>
      </c>
      <c r="G73" s="23">
        <v>10000</v>
      </c>
      <c r="H73" s="12">
        <f t="shared" si="12"/>
        <v>3635.91</v>
      </c>
      <c r="I73" s="12"/>
      <c r="J73" s="7"/>
    </row>
    <row r="74" spans="1:11" x14ac:dyDescent="0.15">
      <c r="A74" s="1"/>
      <c r="B74" s="2"/>
      <c r="C74" s="56" t="s">
        <v>117</v>
      </c>
      <c r="D74" s="56"/>
      <c r="E74" s="20">
        <v>9018.48</v>
      </c>
      <c r="F74" s="20">
        <v>6609.46</v>
      </c>
      <c r="G74" s="23">
        <v>10000</v>
      </c>
      <c r="H74" s="12">
        <f t="shared" si="12"/>
        <v>981.52000000000044</v>
      </c>
      <c r="I74" s="12"/>
      <c r="J74" s="7"/>
    </row>
    <row r="75" spans="1:11" x14ac:dyDescent="0.15">
      <c r="A75" s="1"/>
      <c r="B75" s="2"/>
      <c r="C75" s="56" t="s">
        <v>84</v>
      </c>
      <c r="D75" s="56"/>
      <c r="E75" s="20">
        <v>3444.55</v>
      </c>
      <c r="F75" s="20">
        <v>3807.49</v>
      </c>
      <c r="G75" s="23">
        <v>4000</v>
      </c>
      <c r="H75" s="12">
        <f t="shared" si="12"/>
        <v>555.44999999999982</v>
      </c>
      <c r="I75" s="12"/>
      <c r="J75" s="7"/>
    </row>
    <row r="76" spans="1:11" x14ac:dyDescent="0.15">
      <c r="A76" s="1"/>
      <c r="B76" s="2"/>
      <c r="C76" s="2" t="s">
        <v>69</v>
      </c>
      <c r="D76" s="2"/>
      <c r="E76" s="20">
        <v>5400</v>
      </c>
      <c r="F76" s="20">
        <v>0</v>
      </c>
      <c r="G76" s="23">
        <v>0</v>
      </c>
      <c r="H76" s="12">
        <f t="shared" si="12"/>
        <v>-5400</v>
      </c>
      <c r="I76" s="25"/>
      <c r="J76" s="7"/>
    </row>
    <row r="77" spans="1:11" x14ac:dyDescent="0.15">
      <c r="A77" s="1"/>
      <c r="B77" s="56" t="s">
        <v>7</v>
      </c>
      <c r="C77" s="56"/>
      <c r="D77" s="56"/>
      <c r="E77" s="12">
        <f>SUM(E78,E83:E83)</f>
        <v>600681.46000000008</v>
      </c>
      <c r="F77" s="12">
        <f>F78+F83</f>
        <v>279002.21000000002</v>
      </c>
      <c r="G77" s="12">
        <f>G78+G83</f>
        <v>470030</v>
      </c>
      <c r="H77" s="12">
        <f>G77-E77</f>
        <v>-130651.46000000008</v>
      </c>
      <c r="I77" s="12"/>
      <c r="J77" s="7"/>
    </row>
    <row r="78" spans="1:11" x14ac:dyDescent="0.15">
      <c r="A78" s="1"/>
      <c r="B78" s="2"/>
      <c r="C78" s="56" t="s">
        <v>85</v>
      </c>
      <c r="D78" s="56"/>
      <c r="E78" s="14">
        <f>SUM(E79:E82)</f>
        <v>594272.58000000007</v>
      </c>
      <c r="F78" s="14">
        <f>F79+F80+F81+F82</f>
        <v>276134.94</v>
      </c>
      <c r="G78" s="14">
        <f>SUM(G79:G82)</f>
        <v>470030</v>
      </c>
      <c r="H78" s="12">
        <f t="shared" ref="H78" si="13">SUM(H79:H82)</f>
        <v>-124242.58000000005</v>
      </c>
      <c r="I78" s="12"/>
      <c r="J78" s="7"/>
    </row>
    <row r="79" spans="1:11" x14ac:dyDescent="0.15">
      <c r="A79" s="1"/>
      <c r="B79" s="2"/>
      <c r="C79" s="2"/>
      <c r="D79" s="2" t="s">
        <v>86</v>
      </c>
      <c r="E79" s="21">
        <v>19655.099999999999</v>
      </c>
      <c r="F79" s="21">
        <v>6066.04</v>
      </c>
      <c r="G79" s="26">
        <f>G9*J79</f>
        <v>10230</v>
      </c>
      <c r="H79" s="12">
        <f t="shared" ref="H79:H84" si="14">G79-E79</f>
        <v>-9425.0999999999985</v>
      </c>
      <c r="I79" s="12" t="s">
        <v>76</v>
      </c>
      <c r="J79" s="7">
        <v>9.2999999999999992E-3</v>
      </c>
    </row>
    <row r="80" spans="1:11" x14ac:dyDescent="0.15">
      <c r="A80" s="1"/>
      <c r="B80" s="2"/>
      <c r="C80" s="2"/>
      <c r="D80" s="2" t="s">
        <v>87</v>
      </c>
      <c r="E80" s="21">
        <v>566414.92000000004</v>
      </c>
      <c r="F80" s="21">
        <v>269515.45</v>
      </c>
      <c r="G80" s="21">
        <f>G9*J80</f>
        <v>457600</v>
      </c>
      <c r="H80" s="12">
        <f t="shared" si="14"/>
        <v>-108814.92000000004</v>
      </c>
      <c r="I80" s="12" t="s">
        <v>76</v>
      </c>
      <c r="J80" s="7">
        <v>0.41599999999999998</v>
      </c>
    </row>
    <row r="81" spans="1:10" x14ac:dyDescent="0.15">
      <c r="A81" s="1"/>
      <c r="B81" s="2"/>
      <c r="C81" s="2"/>
      <c r="D81" s="2" t="s">
        <v>88</v>
      </c>
      <c r="E81" s="21">
        <v>8001.63</v>
      </c>
      <c r="F81" s="21">
        <v>553.45000000000005</v>
      </c>
      <c r="G81" s="26">
        <v>2000</v>
      </c>
      <c r="H81" s="12">
        <f t="shared" si="14"/>
        <v>-6001.63</v>
      </c>
      <c r="I81" s="12"/>
      <c r="J81" s="7"/>
    </row>
    <row r="82" spans="1:10" x14ac:dyDescent="0.15">
      <c r="A82" s="1"/>
      <c r="B82" s="2"/>
      <c r="C82" s="2"/>
      <c r="D82" s="2" t="s">
        <v>89</v>
      </c>
      <c r="E82" s="21">
        <f>198.52+2.41</f>
        <v>200.93</v>
      </c>
      <c r="F82" s="21">
        <v>0</v>
      </c>
      <c r="G82" s="26">
        <v>200</v>
      </c>
      <c r="H82" s="12">
        <f t="shared" si="14"/>
        <v>-0.93000000000000682</v>
      </c>
      <c r="I82" s="12"/>
      <c r="J82" s="7"/>
    </row>
    <row r="83" spans="1:10" x14ac:dyDescent="0.15">
      <c r="A83" s="1"/>
      <c r="B83" s="2"/>
      <c r="C83" s="2" t="s">
        <v>83</v>
      </c>
      <c r="D83" s="2"/>
      <c r="E83" s="20">
        <v>6408.88</v>
      </c>
      <c r="F83" s="20">
        <v>2867.27</v>
      </c>
      <c r="G83" s="23">
        <v>0</v>
      </c>
      <c r="H83" s="12">
        <f t="shared" si="14"/>
        <v>-6408.88</v>
      </c>
      <c r="I83" s="12"/>
      <c r="J83" s="7"/>
    </row>
    <row r="84" spans="1:10" x14ac:dyDescent="0.15">
      <c r="A84" s="1"/>
      <c r="B84" s="33" t="s">
        <v>36</v>
      </c>
      <c r="C84" s="2"/>
      <c r="D84" s="2"/>
      <c r="E84" s="40">
        <v>7643.55</v>
      </c>
      <c r="F84" s="40">
        <v>0</v>
      </c>
      <c r="G84" s="39">
        <v>0</v>
      </c>
      <c r="H84" s="12">
        <f t="shared" si="14"/>
        <v>-7643.55</v>
      </c>
      <c r="I84" s="12"/>
      <c r="J84" s="7"/>
    </row>
    <row r="85" spans="1:10" x14ac:dyDescent="0.15">
      <c r="A85" s="1"/>
      <c r="B85" s="56" t="s">
        <v>90</v>
      </c>
      <c r="C85" s="56"/>
      <c r="D85" s="56"/>
      <c r="E85" s="39">
        <v>26590.51</v>
      </c>
      <c r="F85" s="39">
        <v>5922.61</v>
      </c>
      <c r="G85" s="39">
        <v>15000</v>
      </c>
      <c r="H85" s="12">
        <f>G85-E85</f>
        <v>-11590.509999999998</v>
      </c>
      <c r="I85" s="12"/>
      <c r="J85" s="7"/>
    </row>
    <row r="86" spans="1:10" x14ac:dyDescent="0.15">
      <c r="A86" s="1"/>
      <c r="B86" s="56" t="s">
        <v>91</v>
      </c>
      <c r="C86" s="56"/>
      <c r="D86" s="56"/>
      <c r="E86" s="12">
        <f t="shared" ref="E86:H86" si="15">SUM(E87:E93)</f>
        <v>65665.25</v>
      </c>
      <c r="F86" s="12">
        <f>F87+F88+F89+F90+F91+F92+F93</f>
        <v>63130.240000000005</v>
      </c>
      <c r="G86" s="12">
        <f>SUM(G87:G93)</f>
        <v>63700</v>
      </c>
      <c r="H86" s="12">
        <f t="shared" si="15"/>
        <v>-1965.2500000000018</v>
      </c>
      <c r="I86" s="12"/>
      <c r="J86" s="7"/>
    </row>
    <row r="87" spans="1:10" x14ac:dyDescent="0.15">
      <c r="A87" s="1"/>
      <c r="B87" s="2"/>
      <c r="C87" s="56" t="s">
        <v>92</v>
      </c>
      <c r="D87" s="56"/>
      <c r="E87" s="20">
        <v>6438.89</v>
      </c>
      <c r="F87" s="20">
        <f>120+6936.28</f>
        <v>7056.28</v>
      </c>
      <c r="G87" s="23">
        <v>7000</v>
      </c>
      <c r="H87" s="12">
        <f t="shared" ref="H87:H93" si="16">G87-E87</f>
        <v>561.10999999999967</v>
      </c>
      <c r="I87" s="12"/>
      <c r="J87" s="7"/>
    </row>
    <row r="88" spans="1:10" x14ac:dyDescent="0.15">
      <c r="A88" s="1"/>
      <c r="B88" s="2"/>
      <c r="C88" s="56" t="s">
        <v>93</v>
      </c>
      <c r="D88" s="56"/>
      <c r="E88" s="20">
        <v>30273.81</v>
      </c>
      <c r="F88" s="20">
        <v>26582.400000000001</v>
      </c>
      <c r="G88" s="23">
        <v>27000</v>
      </c>
      <c r="H88" s="12">
        <f t="shared" si="16"/>
        <v>-3273.8100000000013</v>
      </c>
      <c r="I88" s="12"/>
      <c r="J88" s="7"/>
    </row>
    <row r="89" spans="1:10" x14ac:dyDescent="0.15">
      <c r="A89" s="1"/>
      <c r="B89" s="2"/>
      <c r="C89" s="56" t="s">
        <v>94</v>
      </c>
      <c r="D89" s="56"/>
      <c r="E89" s="20">
        <v>4408.63</v>
      </c>
      <c r="F89" s="20">
        <v>5407.55</v>
      </c>
      <c r="G89" s="23">
        <v>5500</v>
      </c>
      <c r="H89" s="12">
        <f t="shared" si="16"/>
        <v>1091.3699999999999</v>
      </c>
      <c r="I89" s="12"/>
      <c r="J89" s="7"/>
    </row>
    <row r="90" spans="1:10" x14ac:dyDescent="0.15">
      <c r="A90" s="1"/>
      <c r="B90" s="2"/>
      <c r="C90" s="33" t="s">
        <v>95</v>
      </c>
      <c r="D90" s="2"/>
      <c r="E90" s="20">
        <v>2268</v>
      </c>
      <c r="F90" s="20">
        <v>0</v>
      </c>
      <c r="G90" s="23">
        <v>0</v>
      </c>
      <c r="H90" s="12">
        <f t="shared" si="16"/>
        <v>-2268</v>
      </c>
      <c r="I90" s="12"/>
      <c r="J90" s="7"/>
    </row>
    <row r="91" spans="1:10" x14ac:dyDescent="0.15">
      <c r="A91" s="1"/>
      <c r="B91" s="2"/>
      <c r="C91" s="56" t="s">
        <v>96</v>
      </c>
      <c r="D91" s="56"/>
      <c r="E91" s="20">
        <v>7723.68</v>
      </c>
      <c r="F91" s="20">
        <v>7656</v>
      </c>
      <c r="G91" s="23">
        <v>7700</v>
      </c>
      <c r="H91" s="12">
        <f t="shared" si="16"/>
        <v>-23.680000000000291</v>
      </c>
      <c r="I91" s="12"/>
      <c r="J91" s="7"/>
    </row>
    <row r="92" spans="1:10" x14ac:dyDescent="0.15">
      <c r="A92" s="1"/>
      <c r="B92" s="2"/>
      <c r="C92" s="56" t="s">
        <v>97</v>
      </c>
      <c r="D92" s="56"/>
      <c r="E92" s="20">
        <v>9836.24</v>
      </c>
      <c r="F92" s="20">
        <v>11118.32</v>
      </c>
      <c r="G92" s="23">
        <v>11000</v>
      </c>
      <c r="H92" s="12">
        <f t="shared" si="16"/>
        <v>1163.7600000000002</v>
      </c>
      <c r="I92" s="12"/>
      <c r="J92" s="7"/>
    </row>
    <row r="93" spans="1:10" x14ac:dyDescent="0.15">
      <c r="A93" s="1"/>
      <c r="B93" s="2"/>
      <c r="C93" s="56" t="s">
        <v>98</v>
      </c>
      <c r="D93" s="56"/>
      <c r="E93" s="20">
        <v>4716</v>
      </c>
      <c r="F93" s="20">
        <v>5309.69</v>
      </c>
      <c r="G93" s="23">
        <v>5500</v>
      </c>
      <c r="H93" s="12">
        <f t="shared" si="16"/>
        <v>784</v>
      </c>
      <c r="I93" s="12"/>
      <c r="J93" s="7"/>
    </row>
    <row r="94" spans="1:10" x14ac:dyDescent="0.15">
      <c r="A94" s="1"/>
      <c r="B94" s="2"/>
      <c r="C94" s="2"/>
      <c r="D94" s="2"/>
      <c r="E94" s="19">
        <f>SUM(E31:E32,E40:E42,E46,E52,E56:E58,E63:E64,E70,E77,E85:E86)</f>
        <v>3311598.4399999995</v>
      </c>
      <c r="F94" s="19">
        <f>SUM(F31:F32,F40:F42,F46,F52,F56:F58,F63:F64,F70,F77,F85:F86)</f>
        <v>2613011.58</v>
      </c>
      <c r="G94" s="19">
        <f>G31+G32+G40+G41+G42+G46+G52+G56+G57+G58+G63+G64+G70+G77+G84+G85+G86</f>
        <v>3038402.4233321603</v>
      </c>
      <c r="H94" s="19">
        <f>SUM(H31:H32,H40:H42,H46,H52,H56:H58,H63:H64,H70,H77,H85:H86)</f>
        <v>-273196.01666783995</v>
      </c>
      <c r="I94" s="12"/>
      <c r="J94" s="7"/>
    </row>
    <row r="95" spans="1:10" x14ac:dyDescent="0.15">
      <c r="A95" s="1"/>
      <c r="B95" s="2"/>
      <c r="C95" s="2"/>
      <c r="D95" s="2"/>
      <c r="E95" s="27"/>
      <c r="F95" s="27"/>
      <c r="G95" s="27"/>
      <c r="H95" s="27"/>
      <c r="I95" s="18"/>
      <c r="J95" s="7"/>
    </row>
    <row r="96" spans="1:10" x14ac:dyDescent="0.15">
      <c r="A96" s="1"/>
      <c r="B96" s="56" t="s">
        <v>99</v>
      </c>
      <c r="C96" s="56"/>
      <c r="D96" s="56"/>
      <c r="E96" s="3">
        <f>E28-E94</f>
        <v>-1045112.5299999993</v>
      </c>
      <c r="F96" s="3">
        <f>F28-F94</f>
        <v>-1457106.12</v>
      </c>
      <c r="G96" s="3">
        <f>G28-G94</f>
        <v>-1041690.8613321604</v>
      </c>
      <c r="H96" s="3">
        <f>H28-H94</f>
        <v>3421.6686678400147</v>
      </c>
      <c r="I96" s="3"/>
      <c r="J96" s="7"/>
    </row>
    <row r="97" spans="1:10" x14ac:dyDescent="0.15">
      <c r="A97" s="1"/>
      <c r="B97" s="2"/>
      <c r="C97" s="2"/>
      <c r="D97" s="2"/>
      <c r="E97" s="3"/>
      <c r="F97" s="3"/>
      <c r="G97" s="3"/>
      <c r="H97" s="3"/>
      <c r="I97" s="27"/>
      <c r="J97" s="7"/>
    </row>
    <row r="98" spans="1:10" x14ac:dyDescent="0.15">
      <c r="A98" s="1"/>
      <c r="B98" s="58" t="s">
        <v>100</v>
      </c>
      <c r="C98" s="58"/>
      <c r="D98" s="58"/>
      <c r="E98" s="3"/>
      <c r="F98" s="3"/>
      <c r="G98" s="3"/>
      <c r="H98" s="3"/>
      <c r="I98" s="3"/>
      <c r="J98" s="7"/>
    </row>
    <row r="99" spans="1:10" x14ac:dyDescent="0.15">
      <c r="A99" s="1"/>
      <c r="B99" s="58" t="s">
        <v>5</v>
      </c>
      <c r="C99" s="58"/>
      <c r="D99" s="58"/>
      <c r="E99" s="3"/>
      <c r="F99" s="3"/>
      <c r="G99" s="3"/>
      <c r="H99" s="3"/>
      <c r="I99" s="3"/>
      <c r="J99" s="7"/>
    </row>
    <row r="100" spans="1:10" x14ac:dyDescent="0.15">
      <c r="A100" s="1"/>
      <c r="B100" s="56" t="s">
        <v>101</v>
      </c>
      <c r="C100" s="56"/>
      <c r="D100" s="56"/>
      <c r="E100" s="8">
        <f t="shared" ref="E100" si="17">SUM(E101:E103)</f>
        <v>123063.51</v>
      </c>
      <c r="F100" s="8">
        <f>F101+F102+F103</f>
        <v>94977.790000000008</v>
      </c>
      <c r="G100" s="8">
        <f>G101+G102+G103</f>
        <v>105000</v>
      </c>
      <c r="H100" s="12">
        <f t="shared" ref="H100:H111" si="18">G100-E100</f>
        <v>-18063.509999999995</v>
      </c>
      <c r="I100" s="3"/>
      <c r="J100" s="7"/>
    </row>
    <row r="101" spans="1:10" x14ac:dyDescent="0.15">
      <c r="A101" s="1">
        <v>1</v>
      </c>
      <c r="B101" s="2"/>
      <c r="C101" s="59" t="s">
        <v>118</v>
      </c>
      <c r="D101" s="56"/>
      <c r="E101" s="11">
        <v>28923.51</v>
      </c>
      <c r="F101" s="11">
        <v>23280</v>
      </c>
      <c r="G101" s="10">
        <v>25000</v>
      </c>
      <c r="H101" s="12">
        <f t="shared" si="18"/>
        <v>-3923.5099999999984</v>
      </c>
      <c r="I101" s="3"/>
      <c r="J101" s="7"/>
    </row>
    <row r="102" spans="1:10" x14ac:dyDescent="0.15">
      <c r="A102" s="1">
        <v>2</v>
      </c>
      <c r="B102" s="2"/>
      <c r="C102" s="59" t="s">
        <v>119</v>
      </c>
      <c r="D102" s="56"/>
      <c r="E102" s="9">
        <f>54475+1165</f>
        <v>55640</v>
      </c>
      <c r="F102" s="9">
        <f>3250+25596.29</f>
        <v>28846.29</v>
      </c>
      <c r="G102" s="10">
        <v>45000</v>
      </c>
      <c r="H102" s="12">
        <f t="shared" si="18"/>
        <v>-10640</v>
      </c>
      <c r="I102" s="3"/>
      <c r="J102" s="7"/>
    </row>
    <row r="103" spans="1:10" x14ac:dyDescent="0.15">
      <c r="A103" s="1">
        <v>3</v>
      </c>
      <c r="B103" s="2"/>
      <c r="C103" s="59" t="s">
        <v>102</v>
      </c>
      <c r="D103" s="59"/>
      <c r="E103" s="11">
        <v>38500</v>
      </c>
      <c r="F103" s="11">
        <v>42851.5</v>
      </c>
      <c r="G103" s="10">
        <v>35000</v>
      </c>
      <c r="H103" s="12">
        <f t="shared" si="18"/>
        <v>-3500</v>
      </c>
      <c r="I103" s="3"/>
      <c r="J103" s="7"/>
    </row>
    <row r="104" spans="1:10" x14ac:dyDescent="0.15">
      <c r="A104" s="1"/>
      <c r="B104" s="59" t="s">
        <v>103</v>
      </c>
      <c r="C104" s="59"/>
      <c r="D104" s="59"/>
      <c r="E104" s="12">
        <f>SUM(E105:E107)</f>
        <v>508289.86</v>
      </c>
      <c r="F104" s="12">
        <f>F105+F106+F107</f>
        <v>489595.99</v>
      </c>
      <c r="G104" s="12">
        <f>G105+G107+G106</f>
        <v>215000</v>
      </c>
      <c r="H104" s="12">
        <f t="shared" si="18"/>
        <v>-293289.86</v>
      </c>
      <c r="I104" s="8"/>
      <c r="J104" s="7"/>
    </row>
    <row r="105" spans="1:10" x14ac:dyDescent="0.15">
      <c r="A105" s="1"/>
      <c r="B105" s="2"/>
      <c r="C105" s="56" t="s">
        <v>104</v>
      </c>
      <c r="D105" s="56"/>
      <c r="E105" s="10">
        <v>12000</v>
      </c>
      <c r="F105" s="10">
        <v>299482.45</v>
      </c>
      <c r="G105" s="10">
        <v>25000</v>
      </c>
      <c r="H105" s="12">
        <f t="shared" si="18"/>
        <v>13000</v>
      </c>
      <c r="I105" s="12"/>
      <c r="J105" s="7"/>
    </row>
    <row r="106" spans="1:10" x14ac:dyDescent="0.15">
      <c r="A106" s="1"/>
      <c r="B106" s="2"/>
      <c r="C106" s="33" t="s">
        <v>105</v>
      </c>
      <c r="D106" s="2"/>
      <c r="E106" s="22">
        <v>382573.86</v>
      </c>
      <c r="F106" s="22">
        <v>1600</v>
      </c>
      <c r="G106" s="10">
        <v>0</v>
      </c>
      <c r="H106" s="12">
        <f t="shared" si="18"/>
        <v>-382573.86</v>
      </c>
      <c r="I106" s="12"/>
      <c r="J106" s="7"/>
    </row>
    <row r="107" spans="1:10" x14ac:dyDescent="0.15">
      <c r="A107" s="1"/>
      <c r="B107" s="2"/>
      <c r="C107" s="56" t="s">
        <v>106</v>
      </c>
      <c r="D107" s="56"/>
      <c r="E107" s="20">
        <v>113716</v>
      </c>
      <c r="F107" s="20">
        <v>188513.54</v>
      </c>
      <c r="G107" s="10">
        <v>190000</v>
      </c>
      <c r="H107" s="12">
        <f t="shared" si="18"/>
        <v>76284</v>
      </c>
      <c r="I107" s="12"/>
      <c r="J107" s="7"/>
    </row>
    <row r="108" spans="1:10" x14ac:dyDescent="0.15">
      <c r="A108" s="1"/>
      <c r="B108" s="56" t="s">
        <v>107</v>
      </c>
      <c r="C108" s="56"/>
      <c r="D108" s="56"/>
      <c r="E108" s="38">
        <v>264500</v>
      </c>
      <c r="F108" s="38">
        <v>319800</v>
      </c>
      <c r="G108" s="38">
        <v>315000</v>
      </c>
      <c r="H108" s="12">
        <f t="shared" si="18"/>
        <v>50500</v>
      </c>
      <c r="I108" s="12"/>
      <c r="J108" s="7"/>
    </row>
    <row r="109" spans="1:10" x14ac:dyDescent="0.15">
      <c r="A109" s="1" t="s">
        <v>108</v>
      </c>
      <c r="B109" s="56" t="s">
        <v>109</v>
      </c>
      <c r="C109" s="56"/>
      <c r="D109" s="56"/>
      <c r="E109" s="32">
        <f t="shared" ref="E109" si="19">E110+E111</f>
        <v>413631.53</v>
      </c>
      <c r="F109" s="32">
        <f>F110+F111</f>
        <v>385504</v>
      </c>
      <c r="G109" s="32">
        <f>G110+G111</f>
        <v>405000</v>
      </c>
      <c r="H109" s="12">
        <f t="shared" si="18"/>
        <v>-8631.5300000000279</v>
      </c>
      <c r="I109" s="12"/>
      <c r="J109" s="7"/>
    </row>
    <row r="110" spans="1:10" x14ac:dyDescent="0.15">
      <c r="A110" s="1"/>
      <c r="B110" s="2"/>
      <c r="C110" s="33" t="s">
        <v>110</v>
      </c>
      <c r="D110" s="2"/>
      <c r="E110" s="20">
        <f>8020.84+328025</f>
        <v>336045.84</v>
      </c>
      <c r="F110" s="20">
        <f>13350+276450</f>
        <v>289800</v>
      </c>
      <c r="G110" s="14">
        <v>310000</v>
      </c>
      <c r="H110" s="12">
        <f t="shared" si="18"/>
        <v>-26045.840000000026</v>
      </c>
      <c r="I110" s="12"/>
      <c r="J110" s="7"/>
    </row>
    <row r="111" spans="1:10" x14ac:dyDescent="0.15">
      <c r="A111" s="1"/>
      <c r="B111" s="2"/>
      <c r="C111" s="33" t="s">
        <v>111</v>
      </c>
      <c r="D111" s="2"/>
      <c r="E111" s="20">
        <v>77585.69</v>
      </c>
      <c r="F111" s="20">
        <v>95704</v>
      </c>
      <c r="G111" s="14">
        <v>95000</v>
      </c>
      <c r="H111" s="12">
        <f t="shared" si="18"/>
        <v>17414.309999999998</v>
      </c>
      <c r="I111" s="12"/>
      <c r="J111" s="7"/>
    </row>
    <row r="112" spans="1:10" x14ac:dyDescent="0.15">
      <c r="A112" s="1"/>
      <c r="B112" s="56" t="s">
        <v>39</v>
      </c>
      <c r="C112" s="56"/>
      <c r="D112" s="56"/>
      <c r="E112" s="38">
        <v>0</v>
      </c>
      <c r="F112" s="38">
        <v>1781900.1</v>
      </c>
      <c r="G112" s="38">
        <v>100000</v>
      </c>
      <c r="H112" s="12">
        <f>E112-G112</f>
        <v>-100000</v>
      </c>
      <c r="I112" s="12" t="s">
        <v>130</v>
      </c>
      <c r="J112" s="7"/>
    </row>
    <row r="113" spans="1:10" x14ac:dyDescent="0.15">
      <c r="A113" s="1"/>
      <c r="B113" s="2"/>
      <c r="C113" s="2"/>
      <c r="D113" s="2"/>
      <c r="E113" s="19">
        <f>E100+E104+E108+E109</f>
        <v>1309484.8999999999</v>
      </c>
      <c r="F113" s="19">
        <f>F100+F104+F108+F109+F112</f>
        <v>3071777.88</v>
      </c>
      <c r="G113" s="19">
        <f>G100+G104+G108+G109+G112</f>
        <v>1140000</v>
      </c>
      <c r="H113" s="19">
        <f>SUM(H100,H104,H108:H112)</f>
        <v>-378116.43000000005</v>
      </c>
      <c r="I113" s="12"/>
      <c r="J113" s="7"/>
    </row>
    <row r="114" spans="1:10" x14ac:dyDescent="0.15">
      <c r="A114" s="1"/>
      <c r="B114" s="2"/>
      <c r="C114" s="2"/>
      <c r="D114" s="2"/>
      <c r="E114" s="3"/>
      <c r="F114" s="3"/>
      <c r="G114" s="3"/>
      <c r="H114" s="3"/>
      <c r="I114" s="12"/>
      <c r="J114" s="7"/>
    </row>
    <row r="115" spans="1:10" x14ac:dyDescent="0.15">
      <c r="A115" s="1"/>
      <c r="B115" s="58" t="s">
        <v>40</v>
      </c>
      <c r="C115" s="58"/>
      <c r="D115" s="58"/>
      <c r="E115" s="3"/>
      <c r="F115" s="3"/>
      <c r="G115" s="3"/>
      <c r="H115" s="3"/>
      <c r="I115" s="12"/>
      <c r="J115" s="7"/>
    </row>
    <row r="116" spans="1:10" x14ac:dyDescent="0.15">
      <c r="A116" s="1"/>
      <c r="B116" s="33" t="s">
        <v>120</v>
      </c>
      <c r="C116" s="2"/>
      <c r="D116" s="2"/>
      <c r="E116" s="28">
        <v>49914.45</v>
      </c>
      <c r="F116" s="28">
        <v>11944.4</v>
      </c>
      <c r="G116" s="28">
        <v>50000</v>
      </c>
      <c r="H116" s="12">
        <f>G116-E116</f>
        <v>85.55000000000291</v>
      </c>
      <c r="I116" s="12"/>
      <c r="J116" s="7"/>
    </row>
    <row r="117" spans="1:10" x14ac:dyDescent="0.15">
      <c r="A117" s="1"/>
      <c r="B117" s="2" t="s">
        <v>112</v>
      </c>
      <c r="C117" s="2"/>
      <c r="D117" s="2"/>
      <c r="E117" s="40">
        <v>10786</v>
      </c>
      <c r="F117" s="51">
        <v>10128.56</v>
      </c>
      <c r="G117" s="18">
        <f>G109*J117</f>
        <v>10530</v>
      </c>
      <c r="H117" s="12">
        <f>G117-E117</f>
        <v>-256</v>
      </c>
      <c r="I117" s="12" t="s">
        <v>113</v>
      </c>
      <c r="J117" s="7">
        <v>2.5999999999999999E-2</v>
      </c>
    </row>
    <row r="118" spans="1:10" x14ac:dyDescent="0.15">
      <c r="A118" s="1"/>
      <c r="B118" s="59" t="s">
        <v>69</v>
      </c>
      <c r="C118" s="59"/>
      <c r="D118" s="59"/>
      <c r="E118" s="41">
        <f>2612.36+4149.5+12636.96+444.45</f>
        <v>19843.27</v>
      </c>
      <c r="F118" s="41">
        <v>10378.620000000001</v>
      </c>
      <c r="G118" s="41">
        <v>12000</v>
      </c>
      <c r="H118" s="12">
        <f>G118-E118</f>
        <v>-7843.27</v>
      </c>
      <c r="I118" s="18"/>
      <c r="J118" s="7"/>
    </row>
    <row r="119" spans="1:10" x14ac:dyDescent="0.15">
      <c r="A119" s="1"/>
      <c r="B119" s="2"/>
      <c r="C119" s="2"/>
      <c r="D119" s="2"/>
      <c r="E119" s="19">
        <f t="shared" ref="E119" si="20">SUM(E116:E118)</f>
        <v>80543.72</v>
      </c>
      <c r="F119" s="19">
        <f>F116+F117+F118</f>
        <v>32451.58</v>
      </c>
      <c r="G119" s="19">
        <f>SUM(G116:G118)</f>
        <v>72530</v>
      </c>
      <c r="H119" s="19">
        <f>SUM(H116:H118)</f>
        <v>-8013.7199999999975</v>
      </c>
      <c r="I119" s="3"/>
      <c r="J119" s="7"/>
    </row>
    <row r="120" spans="1:10" x14ac:dyDescent="0.15">
      <c r="A120" s="1"/>
      <c r="B120" s="2"/>
      <c r="C120" s="2"/>
      <c r="D120" s="2"/>
      <c r="E120" s="3"/>
      <c r="F120" s="3"/>
      <c r="G120" s="3"/>
      <c r="H120" s="3"/>
      <c r="I120" s="3"/>
      <c r="J120" s="7"/>
    </row>
    <row r="121" spans="1:10" x14ac:dyDescent="0.15">
      <c r="A121" s="1"/>
      <c r="B121" s="56" t="s">
        <v>114</v>
      </c>
      <c r="C121" s="56"/>
      <c r="D121" s="56"/>
      <c r="E121" s="3">
        <f>E113-E119</f>
        <v>1228941.18</v>
      </c>
      <c r="F121" s="3">
        <f>F113-F119</f>
        <v>3039326.3</v>
      </c>
      <c r="G121" s="3">
        <f>G113-G119</f>
        <v>1067470</v>
      </c>
      <c r="H121" s="3"/>
      <c r="I121" s="3"/>
      <c r="J121" s="7"/>
    </row>
    <row r="122" spans="1:10" x14ac:dyDescent="0.15">
      <c r="A122" s="1"/>
      <c r="B122" s="2"/>
      <c r="C122" s="2"/>
      <c r="D122" s="2"/>
      <c r="E122" s="3"/>
      <c r="F122" s="3"/>
      <c r="G122" s="3"/>
      <c r="H122" s="3"/>
      <c r="I122" s="3"/>
      <c r="J122" s="7"/>
    </row>
    <row r="123" spans="1:10" x14ac:dyDescent="0.15">
      <c r="A123" s="1"/>
      <c r="B123" s="56" t="s">
        <v>115</v>
      </c>
      <c r="C123" s="56"/>
      <c r="D123" s="56"/>
      <c r="E123" s="3"/>
      <c r="F123" s="3"/>
      <c r="G123" s="3"/>
      <c r="H123" s="3"/>
      <c r="I123" s="8"/>
      <c r="J123" s="7"/>
    </row>
    <row r="124" spans="1:10" x14ac:dyDescent="0.15">
      <c r="A124" s="1"/>
      <c r="B124" s="2"/>
      <c r="C124" s="56" t="s">
        <v>5</v>
      </c>
      <c r="D124" s="56"/>
      <c r="E124" s="3">
        <f>E113+E28</f>
        <v>3575970.81</v>
      </c>
      <c r="F124" s="3">
        <f>F113+F28</f>
        <v>4227683.34</v>
      </c>
      <c r="G124" s="3">
        <f>G28+G113</f>
        <v>3136711.5619999999</v>
      </c>
      <c r="H124" s="3"/>
      <c r="I124" s="12"/>
      <c r="J124" s="7"/>
    </row>
    <row r="125" spans="1:10" x14ac:dyDescent="0.15">
      <c r="A125" s="1"/>
      <c r="B125" s="2"/>
      <c r="C125" s="56" t="s">
        <v>40</v>
      </c>
      <c r="D125" s="56"/>
      <c r="E125" s="3">
        <f>E94+E119</f>
        <v>3392142.1599999997</v>
      </c>
      <c r="F125" s="3">
        <f>F94+F119</f>
        <v>2645463.16</v>
      </c>
      <c r="G125" s="3">
        <f>G119+G94</f>
        <v>3110932.4233321603</v>
      </c>
      <c r="H125" s="3"/>
      <c r="J125" s="7"/>
    </row>
    <row r="126" spans="1:10" x14ac:dyDescent="0.15">
      <c r="A126" s="1"/>
      <c r="B126" s="2"/>
      <c r="C126" s="2"/>
      <c r="D126" s="2"/>
      <c r="E126" s="19">
        <f>E124-E125</f>
        <v>183828.65000000037</v>
      </c>
      <c r="F126" s="19">
        <f>F124-F125</f>
        <v>1582220.1799999997</v>
      </c>
      <c r="G126" s="19">
        <f t="shared" ref="G126" si="21">G124-G125</f>
        <v>25779.138667839579</v>
      </c>
      <c r="H126" s="3"/>
      <c r="I126" s="18"/>
      <c r="J126" s="7"/>
    </row>
    <row r="127" spans="1:10" x14ac:dyDescent="0.15">
      <c r="A127" s="1"/>
      <c r="B127" s="2"/>
      <c r="C127" s="2"/>
      <c r="D127" s="2"/>
      <c r="E127" s="3"/>
      <c r="F127" s="3"/>
      <c r="G127" s="3"/>
      <c r="H127" s="3"/>
      <c r="I127" s="3"/>
      <c r="J127" s="7"/>
    </row>
  </sheetData>
  <mergeCells count="79">
    <mergeCell ref="C124:D124"/>
    <mergeCell ref="C125:D125"/>
    <mergeCell ref="B109:D109"/>
    <mergeCell ref="B112:D112"/>
    <mergeCell ref="B115:D115"/>
    <mergeCell ref="B118:D118"/>
    <mergeCell ref="B121:D121"/>
    <mergeCell ref="B123:D123"/>
    <mergeCell ref="B108:D108"/>
    <mergeCell ref="C93:D93"/>
    <mergeCell ref="B96:D96"/>
    <mergeCell ref="B98:D98"/>
    <mergeCell ref="B99:D99"/>
    <mergeCell ref="B100:D100"/>
    <mergeCell ref="C101:D101"/>
    <mergeCell ref="C102:D102"/>
    <mergeCell ref="C103:D103"/>
    <mergeCell ref="B104:D104"/>
    <mergeCell ref="C105:D105"/>
    <mergeCell ref="C107:D107"/>
    <mergeCell ref="C92:D92"/>
    <mergeCell ref="C71:D71"/>
    <mergeCell ref="C74:D74"/>
    <mergeCell ref="C75:D75"/>
    <mergeCell ref="B77:D77"/>
    <mergeCell ref="C78:D78"/>
    <mergeCell ref="B85:D85"/>
    <mergeCell ref="B86:D86"/>
    <mergeCell ref="C87:D87"/>
    <mergeCell ref="C88:D88"/>
    <mergeCell ref="C89:D89"/>
    <mergeCell ref="C91:D91"/>
    <mergeCell ref="B70:D70"/>
    <mergeCell ref="B57:D57"/>
    <mergeCell ref="B58:D58"/>
    <mergeCell ref="C59:D59"/>
    <mergeCell ref="C60:D60"/>
    <mergeCell ref="C61:D61"/>
    <mergeCell ref="C62:D62"/>
    <mergeCell ref="B63:C63"/>
    <mergeCell ref="B64:D64"/>
    <mergeCell ref="C65:D65"/>
    <mergeCell ref="C66:D66"/>
    <mergeCell ref="C67:D67"/>
    <mergeCell ref="B56:D56"/>
    <mergeCell ref="C44:D44"/>
    <mergeCell ref="C45:D45"/>
    <mergeCell ref="B46:D46"/>
    <mergeCell ref="C47:D47"/>
    <mergeCell ref="C48:D48"/>
    <mergeCell ref="C49:D49"/>
    <mergeCell ref="C50:D50"/>
    <mergeCell ref="B52:D52"/>
    <mergeCell ref="C53:D53"/>
    <mergeCell ref="C54:D54"/>
    <mergeCell ref="C55:D55"/>
    <mergeCell ref="C43:D43"/>
    <mergeCell ref="B22:C22"/>
    <mergeCell ref="C23:D23"/>
    <mergeCell ref="C26:D26"/>
    <mergeCell ref="B27:D27"/>
    <mergeCell ref="B30:D30"/>
    <mergeCell ref="B32:D32"/>
    <mergeCell ref="C33:D33"/>
    <mergeCell ref="C34:D34"/>
    <mergeCell ref="C38:D38"/>
    <mergeCell ref="B40:D40"/>
    <mergeCell ref="B42:D42"/>
    <mergeCell ref="C21:D21"/>
    <mergeCell ref="B6:D6"/>
    <mergeCell ref="B7:D7"/>
    <mergeCell ref="B8:D8"/>
    <mergeCell ref="C9:D9"/>
    <mergeCell ref="C10:D10"/>
    <mergeCell ref="C12:D12"/>
    <mergeCell ref="C14:D14"/>
    <mergeCell ref="B15:D15"/>
    <mergeCell ref="C16:D16"/>
    <mergeCell ref="C17:D17"/>
  </mergeCells>
  <pageMargins left="0.75" right="0.75" top="1" bottom="1" header="0.5" footer="0.5"/>
  <pageSetup scale="78" fitToHeight="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Belcourt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Silverman</dc:creator>
  <cp:lastModifiedBy>Stephanie Silverman</cp:lastModifiedBy>
  <cp:lastPrinted>2020-02-03T21:19:57Z</cp:lastPrinted>
  <dcterms:created xsi:type="dcterms:W3CDTF">2018-12-10T22:23:26Z</dcterms:created>
  <dcterms:modified xsi:type="dcterms:W3CDTF">2022-02-23T17:08:43Z</dcterms:modified>
</cp:coreProperties>
</file>