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P:\Finance\Budget\2021 Budget\"/>
    </mc:Choice>
  </mc:AlternateContent>
  <xr:revisionPtr revIDLastSave="0" documentId="8_{079F6D1E-C570-45EC-ABD9-24C4712799B4}" xr6:coauthVersionLast="45" xr6:coauthVersionMax="45" xr10:uidLastSave="{00000000-0000-0000-0000-000000000000}"/>
  <bookViews>
    <workbookView xWindow="-120" yWindow="-120" windowWidth="20730" windowHeight="11310" xr2:uid="{00000000-000D-0000-FFFF-FFFF00000000}"/>
  </bookViews>
  <sheets>
    <sheet name="Draft 2021 Budget" sheetId="1" r:id="rId1"/>
    <sheet name="One Page" sheetId="6" r:id="rId2"/>
    <sheet name="Audit Dashboard 63017" sheetId="4" state="hidden" r:id="rId3"/>
    <sheet name="Audit Program 63017" sheetId="2" state="hidden" r:id="rId4"/>
    <sheet name="Audit_Actual 63017" sheetId="3" state="hidden" r:id="rId5"/>
    <sheet name="MAR_YTD_ACTUAL 4717" sheetId="5" state="hidden" r:id="rId6"/>
  </sheets>
  <definedNames>
    <definedName name="_xlnm.Print_Area" localSheetId="2">'Audit Dashboard 63017'!$A$1:$J$37</definedName>
    <definedName name="_xlnm.Print_Area" localSheetId="0">'Draft 2021 Budget'!$A$1:$K$432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61" i="1" l="1"/>
  <c r="K227" i="1"/>
  <c r="K109" i="1"/>
  <c r="C109" i="1"/>
  <c r="K268" i="1" l="1"/>
  <c r="K427" i="1" l="1"/>
  <c r="K410" i="1"/>
  <c r="K391" i="1"/>
  <c r="K378" i="1"/>
  <c r="K361" i="1"/>
  <c r="K348" i="1"/>
  <c r="K338" i="1"/>
  <c r="K327" i="1"/>
  <c r="K300" i="1"/>
  <c r="K281" i="1"/>
  <c r="K213" i="1"/>
  <c r="K208" i="1"/>
  <c r="K195" i="1"/>
  <c r="K157" i="1"/>
  <c r="K144" i="1"/>
  <c r="K82" i="1"/>
  <c r="K96" i="1" s="1"/>
  <c r="I268" i="1"/>
  <c r="I427" i="1"/>
  <c r="I410" i="1"/>
  <c r="I391" i="1"/>
  <c r="I378" i="1"/>
  <c r="I361" i="1"/>
  <c r="I348" i="1"/>
  <c r="I338" i="1"/>
  <c r="I327" i="1"/>
  <c r="I300" i="1"/>
  <c r="I281" i="1"/>
  <c r="I227" i="1"/>
  <c r="I213" i="1"/>
  <c r="I208" i="1"/>
  <c r="I195" i="1"/>
  <c r="I157" i="1"/>
  <c r="I144" i="1"/>
  <c r="I109" i="1"/>
  <c r="I82" i="1"/>
  <c r="I96" i="1" s="1"/>
  <c r="G427" i="1"/>
  <c r="G410" i="1"/>
  <c r="G391" i="1"/>
  <c r="G378" i="1"/>
  <c r="G361" i="1"/>
  <c r="G348" i="1"/>
  <c r="G338" i="1"/>
  <c r="G327" i="1"/>
  <c r="G300" i="1"/>
  <c r="G281" i="1"/>
  <c r="G268" i="1"/>
  <c r="G227" i="1"/>
  <c r="G213" i="1"/>
  <c r="G208" i="1"/>
  <c r="G195" i="1"/>
  <c r="G157" i="1"/>
  <c r="G144" i="1"/>
  <c r="G109" i="1"/>
  <c r="G82" i="1"/>
  <c r="G96" i="1" s="1"/>
  <c r="G429" i="1" l="1"/>
  <c r="G431" i="1" s="1"/>
  <c r="I429" i="1"/>
  <c r="I431" i="1" s="1"/>
  <c r="K429" i="1"/>
  <c r="K431" i="1" s="1"/>
  <c r="C227" i="1" l="1"/>
  <c r="E208" i="1"/>
  <c r="E109" i="1"/>
  <c r="C82" i="1"/>
  <c r="C96" i="1" s="1"/>
  <c r="E82" i="1"/>
  <c r="E96" i="1" s="1"/>
  <c r="C427" i="1"/>
  <c r="C410" i="1"/>
  <c r="E410" i="1"/>
  <c r="C327" i="1"/>
  <c r="C195" i="1" l="1"/>
  <c r="C144" i="1" l="1"/>
  <c r="C157" i="1"/>
  <c r="C208" i="1"/>
  <c r="C213" i="1"/>
  <c r="C268" i="1"/>
  <c r="C281" i="1"/>
  <c r="C286" i="1"/>
  <c r="C300" i="1"/>
  <c r="C308" i="1"/>
  <c r="C338" i="1"/>
  <c r="C348" i="1"/>
  <c r="C378" i="1"/>
  <c r="C391" i="1"/>
  <c r="C416" i="1"/>
  <c r="C429" i="1" l="1"/>
  <c r="C431" i="1" s="1"/>
  <c r="E361" i="1" l="1"/>
  <c r="E227" i="1"/>
  <c r="E144" i="1" l="1"/>
  <c r="E157" i="1" l="1"/>
  <c r="E427" i="1"/>
  <c r="E416" i="1"/>
  <c r="E378" i="1"/>
  <c r="E348" i="1"/>
  <c r="E286" i="1"/>
  <c r="E281" i="1"/>
  <c r="E213" i="1"/>
  <c r="E195" i="1"/>
  <c r="E268" i="1" l="1"/>
  <c r="E327" i="1" l="1"/>
  <c r="E391" i="1" l="1"/>
  <c r="E300" i="1" l="1"/>
  <c r="E338" i="1"/>
  <c r="E429" i="1" l="1"/>
  <c r="E431" i="1" s="1"/>
  <c r="R17" i="6" l="1"/>
  <c r="T50" i="6"/>
  <c r="S17" i="6"/>
  <c r="T5" i="6"/>
  <c r="S5" i="6"/>
  <c r="S18" i="6"/>
  <c r="S3" i="6"/>
  <c r="T17" i="6" l="1"/>
  <c r="T7" i="6"/>
  <c r="T16" i="6"/>
  <c r="T6" i="6"/>
  <c r="T19" i="6"/>
  <c r="T277" i="6"/>
  <c r="T47" i="6"/>
  <c r="T44" i="6"/>
  <c r="T42" i="6"/>
  <c r="T37" i="6"/>
  <c r="T32" i="6"/>
  <c r="T29" i="6"/>
  <c r="T25" i="6"/>
  <c r="T24" i="6"/>
  <c r="R50" i="6"/>
  <c r="Q50" i="6"/>
  <c r="O50" i="6"/>
  <c r="Q17" i="6"/>
  <c r="Q20" i="6"/>
  <c r="P17" i="6"/>
  <c r="S50" i="6"/>
  <c r="S37" i="6"/>
  <c r="S29" i="6"/>
  <c r="S25" i="6"/>
  <c r="S6" i="6"/>
  <c r="R36" i="6"/>
  <c r="R23" i="6"/>
  <c r="T4" i="6" l="1"/>
  <c r="T21" i="6" s="1"/>
  <c r="T280" i="6" s="1"/>
  <c r="T23" i="6"/>
  <c r="T36" i="6"/>
  <c r="Q4" i="6"/>
  <c r="R16" i="6"/>
  <c r="R6" i="6"/>
  <c r="R4" i="6" l="1"/>
  <c r="R21" i="6" s="1"/>
  <c r="R280" i="6" s="1"/>
  <c r="P5" i="6"/>
  <c r="P16" i="6" l="1"/>
  <c r="P6" i="6"/>
  <c r="P4" i="6" s="1"/>
  <c r="P21" i="6" s="1"/>
  <c r="P280" i="6" s="1"/>
  <c r="O44" i="6"/>
  <c r="O42" i="6"/>
  <c r="O37" i="6"/>
  <c r="O29" i="6"/>
  <c r="O25" i="6"/>
  <c r="O4" i="6"/>
  <c r="O21" i="6" s="1"/>
  <c r="O280" i="6" s="1"/>
  <c r="U2" i="6"/>
  <c r="O56" i="6"/>
  <c r="O264" i="6"/>
  <c r="S277" i="6"/>
  <c r="Q277" i="6"/>
  <c r="S273" i="6"/>
  <c r="S272" i="6"/>
  <c r="S269" i="6"/>
  <c r="S267" i="6"/>
  <c r="P266" i="6"/>
  <c r="S265" i="6"/>
  <c r="S264" i="6"/>
  <c r="S261" i="6"/>
  <c r="S257" i="6"/>
  <c r="S256" i="6"/>
  <c r="S255" i="6"/>
  <c r="S254" i="6"/>
  <c r="Q252" i="6"/>
  <c r="S245" i="6"/>
  <c r="S215" i="6"/>
  <c r="Q214" i="6"/>
  <c r="S212" i="6"/>
  <c r="S211" i="6"/>
  <c r="Y207" i="6"/>
  <c r="S204" i="6"/>
  <c r="S202" i="6"/>
  <c r="S194" i="6"/>
  <c r="S193" i="6"/>
  <c r="S191" i="6"/>
  <c r="S184" i="6"/>
  <c r="S182" i="6"/>
  <c r="S179" i="6"/>
  <c r="S178" i="6"/>
  <c r="S177" i="6"/>
  <c r="S173" i="6"/>
  <c r="U170" i="6"/>
  <c r="S169" i="6"/>
  <c r="S168" i="6"/>
  <c r="S167" i="6"/>
  <c r="S160" i="6"/>
  <c r="S159" i="6"/>
  <c r="S158" i="6"/>
  <c r="U154" i="6"/>
  <c r="S154" i="6"/>
  <c r="S153" i="6"/>
  <c r="S152" i="6"/>
  <c r="S151" i="6"/>
  <c r="S150" i="6"/>
  <c r="S143" i="6"/>
  <c r="S134" i="6"/>
  <c r="S115" i="6"/>
  <c r="S114" i="6"/>
  <c r="S112" i="6"/>
  <c r="S99" i="6"/>
  <c r="S95" i="6"/>
  <c r="S89" i="6"/>
  <c r="S88" i="6"/>
  <c r="S87" i="6"/>
  <c r="S86" i="6"/>
  <c r="S80" i="6"/>
  <c r="S77" i="6"/>
  <c r="S76" i="6"/>
  <c r="S73" i="6"/>
  <c r="S63" i="6"/>
  <c r="S61" i="6"/>
  <c r="S60" i="6"/>
  <c r="S58" i="6"/>
  <c r="S57" i="6"/>
  <c r="S56" i="6"/>
  <c r="Q47" i="6"/>
  <c r="Q44" i="6"/>
  <c r="Q42" i="6"/>
  <c r="S39" i="6"/>
  <c r="S38" i="6"/>
  <c r="Q37" i="6"/>
  <c r="Q32" i="6"/>
  <c r="S31" i="6"/>
  <c r="S30" i="6"/>
  <c r="Q29" i="6"/>
  <c r="S27" i="6"/>
  <c r="S26" i="6"/>
  <c r="Q25" i="6"/>
  <c r="P23" i="6"/>
  <c r="N21" i="6"/>
  <c r="M21" i="6"/>
  <c r="L21" i="6"/>
  <c r="K21" i="6"/>
  <c r="J21" i="6"/>
  <c r="I21" i="6"/>
  <c r="H21" i="6"/>
  <c r="G21" i="6"/>
  <c r="F21" i="6"/>
  <c r="S4" i="6"/>
  <c r="S21" i="6" s="1"/>
  <c r="S280" i="6" s="1"/>
  <c r="Q21" i="6"/>
  <c r="Q280" i="6" s="1"/>
  <c r="P36" i="6" l="1"/>
  <c r="O36" i="6"/>
  <c r="Q49" i="6"/>
  <c r="O23" i="6"/>
  <c r="O281" i="6"/>
  <c r="O282" i="6" s="1"/>
  <c r="O49" i="6"/>
  <c r="S36" i="6"/>
  <c r="Q281" i="6"/>
  <c r="Q282" i="6" s="1"/>
  <c r="Q36" i="6"/>
  <c r="P49" i="6"/>
  <c r="Q23" i="6"/>
  <c r="S23" i="6"/>
  <c r="P281" i="6"/>
  <c r="P282" i="6" s="1"/>
  <c r="R252" i="6" l="1"/>
  <c r="R281" i="6" l="1"/>
  <c r="R282" i="6" s="1"/>
  <c r="R49" i="6"/>
  <c r="D170" i="5" l="1"/>
  <c r="C170" i="5"/>
  <c r="D42" i="5"/>
  <c r="C42" i="5"/>
  <c r="C172" i="5" l="1"/>
  <c r="D172" i="5"/>
  <c r="E33" i="4" l="1"/>
  <c r="H32" i="4"/>
  <c r="G31" i="4"/>
  <c r="F31" i="4"/>
  <c r="D31" i="4"/>
  <c r="H30" i="4"/>
  <c r="B30" i="4"/>
  <c r="B5" i="4" s="1"/>
  <c r="B8" i="4" s="1"/>
  <c r="G29" i="4"/>
  <c r="F29" i="4"/>
  <c r="D29" i="4"/>
  <c r="E26" i="4"/>
  <c r="H25" i="4"/>
  <c r="G24" i="4"/>
  <c r="F24" i="4"/>
  <c r="H23" i="4"/>
  <c r="G22" i="4"/>
  <c r="F22" i="4"/>
  <c r="D22" i="4"/>
  <c r="D26" i="4" s="1"/>
  <c r="E19" i="4"/>
  <c r="D19" i="4"/>
  <c r="H18" i="4"/>
  <c r="H17" i="4"/>
  <c r="G16" i="4"/>
  <c r="H16" i="4" s="1"/>
  <c r="F15" i="4"/>
  <c r="F19" i="4" s="1"/>
  <c r="B14" i="4"/>
  <c r="B16" i="4" s="1"/>
  <c r="G11" i="4"/>
  <c r="G35" i="4" s="1"/>
  <c r="E11" i="4"/>
  <c r="E35" i="4" s="1"/>
  <c r="D11" i="4"/>
  <c r="D35" i="4" s="1"/>
  <c r="H10" i="4"/>
  <c r="H9" i="4"/>
  <c r="F8" i="4"/>
  <c r="H8" i="4" s="1"/>
  <c r="F7" i="4"/>
  <c r="H6" i="4"/>
  <c r="D370" i="3"/>
  <c r="C257" i="3"/>
  <c r="C256" i="3"/>
  <c r="C205" i="3"/>
  <c r="D55" i="3"/>
  <c r="C44" i="3"/>
  <c r="C55" i="3" s="1"/>
  <c r="D295" i="2"/>
  <c r="D317" i="2"/>
  <c r="C317" i="2"/>
  <c r="C415" i="2"/>
  <c r="C402" i="2"/>
  <c r="C383" i="2"/>
  <c r="C359" i="2"/>
  <c r="C341" i="2"/>
  <c r="C333" i="2"/>
  <c r="C275" i="2"/>
  <c r="C268" i="2"/>
  <c r="C254" i="2"/>
  <c r="C209" i="2"/>
  <c r="C196" i="2"/>
  <c r="C175" i="2"/>
  <c r="C171" i="2"/>
  <c r="C163" i="2"/>
  <c r="C122" i="2"/>
  <c r="D103" i="2"/>
  <c r="C103" i="2"/>
  <c r="C77" i="2"/>
  <c r="D415" i="2"/>
  <c r="D402" i="2"/>
  <c r="D383" i="2"/>
  <c r="D359" i="2"/>
  <c r="D341" i="2"/>
  <c r="D333" i="2"/>
  <c r="D275" i="2"/>
  <c r="D268" i="2"/>
  <c r="D254" i="2"/>
  <c r="D237" i="2"/>
  <c r="D209" i="2"/>
  <c r="D196" i="2"/>
  <c r="D175" i="2"/>
  <c r="D171" i="2"/>
  <c r="D163" i="2"/>
  <c r="D122" i="2"/>
  <c r="D77" i="2"/>
  <c r="C225" i="2"/>
  <c r="C237" i="2" s="1"/>
  <c r="C289" i="2"/>
  <c r="C288" i="2"/>
  <c r="D55" i="2"/>
  <c r="C44" i="2"/>
  <c r="C55" i="2" s="1"/>
  <c r="C295" i="2" l="1"/>
  <c r="C420" i="2" s="1"/>
  <c r="C422" i="2" s="1"/>
  <c r="C370" i="3"/>
  <c r="C372" i="3" s="1"/>
  <c r="F33" i="4"/>
  <c r="D372" i="3"/>
  <c r="E36" i="4"/>
  <c r="E37" i="4" s="1"/>
  <c r="F11" i="4"/>
  <c r="F35" i="4" s="1"/>
  <c r="G26" i="4"/>
  <c r="G33" i="4"/>
  <c r="H31" i="4"/>
  <c r="F26" i="4"/>
  <c r="H7" i="4"/>
  <c r="H11" i="4" s="1"/>
  <c r="H35" i="4" s="1"/>
  <c r="D33" i="4"/>
  <c r="D36" i="4" s="1"/>
  <c r="D37" i="4" s="1"/>
  <c r="G19" i="4"/>
  <c r="H24" i="4"/>
  <c r="H15" i="4"/>
  <c r="H19" i="4" s="1"/>
  <c r="H29" i="4"/>
  <c r="H22" i="4"/>
  <c r="D420" i="2"/>
  <c r="D422" i="2" s="1"/>
  <c r="H33" i="4" l="1"/>
  <c r="F36" i="4"/>
  <c r="F37" i="4" s="1"/>
  <c r="G36" i="4"/>
  <c r="G37" i="4" s="1"/>
  <c r="H26" i="4"/>
  <c r="H36" i="4" s="1"/>
  <c r="H37" i="4" s="1"/>
  <c r="T214" i="6"/>
  <c r="T252" i="6"/>
  <c r="S252" i="6"/>
  <c r="T281" i="6" l="1"/>
  <c r="T282" i="6" s="1"/>
  <c r="T49" i="6"/>
  <c r="S49" i="6"/>
  <c r="S281" i="6"/>
  <c r="S282" i="6" s="1"/>
</calcChain>
</file>

<file path=xl/sharedStrings.xml><?xml version="1.0" encoding="utf-8"?>
<sst xmlns="http://schemas.openxmlformats.org/spreadsheetml/2006/main" count="3574" uniqueCount="1446">
  <si>
    <t>AASLH OPERATING BUDGET</t>
  </si>
  <si>
    <t>Description</t>
  </si>
  <si>
    <t>July</t>
  </si>
  <si>
    <t>Aug</t>
  </si>
  <si>
    <t>Sept</t>
  </si>
  <si>
    <t>Oct</t>
  </si>
  <si>
    <t>Nov</t>
  </si>
  <si>
    <t>Dec</t>
  </si>
  <si>
    <t>Jan</t>
  </si>
  <si>
    <t>Feb</t>
  </si>
  <si>
    <t>Mar</t>
  </si>
  <si>
    <t>Apr</t>
  </si>
  <si>
    <t>May</t>
  </si>
  <si>
    <t>June</t>
  </si>
  <si>
    <t>EARNED REVENUES</t>
  </si>
  <si>
    <t>REVENUES</t>
  </si>
  <si>
    <t>MEMBERSHIP</t>
  </si>
  <si>
    <t>400.000.3700</t>
  </si>
  <si>
    <t>Dues</t>
  </si>
  <si>
    <t>MARKETING AND SALES</t>
  </si>
  <si>
    <t>400.000.3654</t>
  </si>
  <si>
    <t>History News Ad Sales</t>
  </si>
  <si>
    <t>400.000.3655</t>
  </si>
  <si>
    <t>Dispatch Ad Sales</t>
  </si>
  <si>
    <t>Career Center</t>
  </si>
  <si>
    <t>400.000.3800</t>
  </si>
  <si>
    <t>Bookstore</t>
  </si>
  <si>
    <t>400.000.3850</t>
  </si>
  <si>
    <t>Mailing list rental</t>
  </si>
  <si>
    <t>ANNUAL MEETING</t>
  </si>
  <si>
    <t>400.000.3650</t>
  </si>
  <si>
    <t>Exhibit Booths</t>
  </si>
  <si>
    <t>400.000.3888</t>
  </si>
  <si>
    <t>Sponsorships</t>
  </si>
  <si>
    <t>400.000.3651</t>
  </si>
  <si>
    <t>Program Ads</t>
  </si>
  <si>
    <t>400.000.3710</t>
  </si>
  <si>
    <t>Registration</t>
  </si>
  <si>
    <t>400.000.3720</t>
  </si>
  <si>
    <t>400.000.3725</t>
  </si>
  <si>
    <t>400.000.3730</t>
  </si>
  <si>
    <t>Tours</t>
  </si>
  <si>
    <t>400.000.3990</t>
  </si>
  <si>
    <t>Evening Events</t>
  </si>
  <si>
    <t>400.000.3740</t>
  </si>
  <si>
    <t>Online Conference</t>
  </si>
  <si>
    <t>400.000.4200</t>
  </si>
  <si>
    <t>CEO Forum</t>
  </si>
  <si>
    <t>400.000.3830</t>
  </si>
  <si>
    <t>Publication Sales</t>
  </si>
  <si>
    <t>PS&amp;L Sponsors</t>
  </si>
  <si>
    <t>Presidential S&amp;L</t>
  </si>
  <si>
    <t>400.000.3715</t>
  </si>
  <si>
    <t>Partner Events</t>
  </si>
  <si>
    <t>ROYALTIES</t>
  </si>
  <si>
    <t>400.000.3750</t>
  </si>
  <si>
    <t>Norton Royalties</t>
  </si>
  <si>
    <t>400.000.3751</t>
  </si>
  <si>
    <t>EBSCO</t>
  </si>
  <si>
    <t>400.000.3760</t>
  </si>
  <si>
    <t>Rowman &amp; Littlefield Royalties</t>
  </si>
  <si>
    <t>400.000.3765</t>
  </si>
  <si>
    <t>Past Perfect Royalties</t>
  </si>
  <si>
    <t>400.000.3752</t>
  </si>
  <si>
    <t>JSTOR</t>
  </si>
  <si>
    <t>VISITORS COUNT</t>
  </si>
  <si>
    <t>400.000.3770</t>
  </si>
  <si>
    <t>Visitors Count!</t>
  </si>
  <si>
    <t>FUNDRAISING</t>
  </si>
  <si>
    <t>400.000.3880</t>
  </si>
  <si>
    <t>Endowment</t>
  </si>
  <si>
    <t>400.000.3881</t>
  </si>
  <si>
    <t>Annual Fund</t>
  </si>
  <si>
    <t>400.000.3877</t>
  </si>
  <si>
    <t>75 for 75 Campaign</t>
  </si>
  <si>
    <t>400.000.3889</t>
  </si>
  <si>
    <t>Alderson Internship</t>
  </si>
  <si>
    <t>400.000.3892</t>
  </si>
  <si>
    <t>In-Kind Contributions</t>
  </si>
  <si>
    <t>400.000.3895</t>
  </si>
  <si>
    <t>Small Museum Scholarship</t>
  </si>
  <si>
    <t>400.000.3896</t>
  </si>
  <si>
    <t>OHMF Annual Fee</t>
  </si>
  <si>
    <t>400.000.4008</t>
  </si>
  <si>
    <t>Carol Kammen</t>
  </si>
  <si>
    <t>SHA</t>
  </si>
  <si>
    <t>400.000.3882</t>
  </si>
  <si>
    <t>400.000.3883A</t>
  </si>
  <si>
    <t>AASLH SHA contribution</t>
  </si>
  <si>
    <t>400.000.3886</t>
  </si>
  <si>
    <t>400.000.3887</t>
  </si>
  <si>
    <t>PROGRAMS</t>
  </si>
  <si>
    <t>400.000.4260</t>
  </si>
  <si>
    <t>SHAM Registration Fees</t>
  </si>
  <si>
    <t>400.000.4600</t>
  </si>
  <si>
    <t>Onsite Workshop Series</t>
  </si>
  <si>
    <t>400.000.4910</t>
  </si>
  <si>
    <t>400.000.3811</t>
  </si>
  <si>
    <t>StEPs Program</t>
  </si>
  <si>
    <t>MISC</t>
  </si>
  <si>
    <t>400.000.4007</t>
  </si>
  <si>
    <t>Health Reimbursements</t>
  </si>
  <si>
    <t>SUBTOTAL</t>
  </si>
  <si>
    <t>Temp. Rest</t>
  </si>
  <si>
    <t>PS&amp;L</t>
  </si>
  <si>
    <t>Corey Award</t>
  </si>
  <si>
    <t>Alderson</t>
  </si>
  <si>
    <t>Evelyn</t>
  </si>
  <si>
    <t>Small Museums Scholarship</t>
  </si>
  <si>
    <t>Community Fdn Grant</t>
  </si>
  <si>
    <t>Endowment Rolling Avg.</t>
  </si>
  <si>
    <t>Subtotal Temp Rest.</t>
  </si>
  <si>
    <t>For office relocation</t>
  </si>
  <si>
    <t/>
  </si>
  <si>
    <t>Total Accrual Revenues</t>
  </si>
  <si>
    <t>EXPENDITURES</t>
  </si>
  <si>
    <t>Leadership &amp; Governance</t>
  </si>
  <si>
    <t>402.000.4100</t>
  </si>
  <si>
    <t>OFFICE SUPPLIES</t>
  </si>
  <si>
    <t>402.000.4110</t>
  </si>
  <si>
    <t>POSTAGE</t>
  </si>
  <si>
    <t>402.000.4120</t>
  </si>
  <si>
    <t>DUPLICATING</t>
  </si>
  <si>
    <t>402.000.4150</t>
  </si>
  <si>
    <t>TELEPHONE</t>
  </si>
  <si>
    <t>402.000.4200</t>
  </si>
  <si>
    <t>STAFF TRAVEL</t>
  </si>
  <si>
    <t>402.000.4210</t>
  </si>
  <si>
    <t>COUNCIL MEETING EXPENSES</t>
  </si>
  <si>
    <t>402.000.4240</t>
  </si>
  <si>
    <t>PROFESSIONAL DUES AND SPONSORSHIPS</t>
  </si>
  <si>
    <t>402.000.4370</t>
  </si>
  <si>
    <t>PROFESSIONAL DEVELOPMENT</t>
  </si>
  <si>
    <t>402.000.4580</t>
  </si>
  <si>
    <t>PRINTING</t>
  </si>
  <si>
    <t>402.000.4600</t>
  </si>
  <si>
    <t>SPONSORSHIP</t>
  </si>
  <si>
    <t>402.000.4390</t>
  </si>
  <si>
    <t>DEPRECIATION</t>
  </si>
  <si>
    <t>Program Total</t>
  </si>
  <si>
    <t>General Operating</t>
  </si>
  <si>
    <t>405.010.4010</t>
  </si>
  <si>
    <t>SALARIES</t>
  </si>
  <si>
    <t>405.010.4040</t>
  </si>
  <si>
    <t>UNEMPL. TAX</t>
  </si>
  <si>
    <t>405.010.4050</t>
  </si>
  <si>
    <t xml:space="preserve">FICA </t>
  </si>
  <si>
    <t>405.010.4060</t>
  </si>
  <si>
    <t>MEDICAL INS.</t>
  </si>
  <si>
    <t>405.010.4070</t>
  </si>
  <si>
    <t>DISABILITY INSURANCE</t>
  </si>
  <si>
    <t>405.010.4080</t>
  </si>
  <si>
    <t>RETIREMENT</t>
  </si>
  <si>
    <t>405.010.4100</t>
  </si>
  <si>
    <t>405.010.4110</t>
  </si>
  <si>
    <t>405.010.4112</t>
  </si>
  <si>
    <t>GIFTS-MEMORIAL-APPRECIATION</t>
  </si>
  <si>
    <t>405.010.4120</t>
  </si>
  <si>
    <t>Charge for actual copies, color and black and white</t>
  </si>
  <si>
    <t>405.010.4150</t>
  </si>
  <si>
    <t>TELEPHONE/INTERNET ACCESS</t>
  </si>
  <si>
    <t>405.010.4160</t>
  </si>
  <si>
    <t>RENT</t>
  </si>
  <si>
    <t>405.010.4164</t>
  </si>
  <si>
    <t>CLEANING SERVICE</t>
  </si>
  <si>
    <t>405.010.4166</t>
  </si>
  <si>
    <t>UTILITIES</t>
  </si>
  <si>
    <t>405.010.4168</t>
  </si>
  <si>
    <t>BUILDING MAINTENANCE</t>
  </si>
  <si>
    <t>405.010.4170</t>
  </si>
  <si>
    <t>BUSINESS INSURANCE</t>
  </si>
  <si>
    <t>405.010.4200</t>
  </si>
  <si>
    <t>405.010.4240</t>
  </si>
  <si>
    <t>PROF. DEVELOPMENT</t>
  </si>
  <si>
    <t>405.010.4280</t>
  </si>
  <si>
    <t>LEGAL FEES</t>
  </si>
  <si>
    <t>405.010.4320</t>
  </si>
  <si>
    <t>AUDIT FEES</t>
  </si>
  <si>
    <t>405.010.4340</t>
  </si>
  <si>
    <t>CONTRACT SERVICES</t>
  </si>
  <si>
    <t>405.010.4350</t>
  </si>
  <si>
    <t>LEASES</t>
  </si>
  <si>
    <t>405.010.4360</t>
  </si>
  <si>
    <t>Equipment Maintenance/Purchase</t>
  </si>
  <si>
    <t>405.010.4390</t>
  </si>
  <si>
    <t>405.010.4560</t>
  </si>
  <si>
    <t>CREDIT CARD PROCESSING EXPENSE</t>
  </si>
  <si>
    <t>405.010.4580</t>
  </si>
  <si>
    <t>405.010.4630</t>
  </si>
  <si>
    <t>BANK SERVICE CHARGES</t>
  </si>
  <si>
    <t>SOFTWARE SUBSCRIPTIONS</t>
  </si>
  <si>
    <t>Awards</t>
  </si>
  <si>
    <t>407.010.4100</t>
  </si>
  <si>
    <t>407.010.4110</t>
  </si>
  <si>
    <t>407.010.4120</t>
  </si>
  <si>
    <t>407.010.4200</t>
  </si>
  <si>
    <t>407.010.4225</t>
  </si>
  <si>
    <t>MEETING EXPENSE</t>
  </si>
  <si>
    <t>407.010.4340</t>
  </si>
  <si>
    <t>Editorial Services</t>
  </si>
  <si>
    <t>407.010.4380</t>
  </si>
  <si>
    <t>Design Services</t>
  </si>
  <si>
    <t>407.010.4410</t>
  </si>
  <si>
    <t>SHIPPING</t>
  </si>
  <si>
    <t>407.010.4550</t>
  </si>
  <si>
    <t>COREY AWARD/CUP/FRAME/KAMMEN</t>
  </si>
  <si>
    <t>407.010.4580</t>
  </si>
  <si>
    <t>Annual Meeting</t>
  </si>
  <si>
    <t>408.010.4100</t>
  </si>
  <si>
    <t>408.010.4110</t>
  </si>
  <si>
    <t>408.010.4120</t>
  </si>
  <si>
    <t>408.010.4150</t>
  </si>
  <si>
    <t>408.010.4201</t>
  </si>
  <si>
    <t>HOST PROGRAM CMTE</t>
  </si>
  <si>
    <t>408.010.4200</t>
  </si>
  <si>
    <t>408.010.4220</t>
  </si>
  <si>
    <t>SPEAKER TRAVEL</t>
  </si>
  <si>
    <t>408.010.4222</t>
  </si>
  <si>
    <t>MEETING PLANNER TRAVEL</t>
  </si>
  <si>
    <t>408.010.4230</t>
  </si>
  <si>
    <t>SPEAKER FEES</t>
  </si>
  <si>
    <t>408.010.4233</t>
  </si>
  <si>
    <t>SMALL MUSEUM SCHOLARSHIPS</t>
  </si>
  <si>
    <t>408.010.4380</t>
  </si>
  <si>
    <t>DESIGN SERVICES</t>
  </si>
  <si>
    <t>408.010.4400</t>
  </si>
  <si>
    <t>MEETING PLANNING SERVICES</t>
  </si>
  <si>
    <t>408.010.4410</t>
  </si>
  <si>
    <t>408.010.4420</t>
  </si>
  <si>
    <t>AFFINITY GROUP Meals</t>
  </si>
  <si>
    <t>408.010.4430</t>
  </si>
  <si>
    <t>RECEPTIONS</t>
  </si>
  <si>
    <t>408.010.4432</t>
  </si>
  <si>
    <t>Registration Hospitality</t>
  </si>
  <si>
    <t>408.010.4340</t>
  </si>
  <si>
    <t>408.010.4450</t>
  </si>
  <si>
    <t xml:space="preserve">A/V Expense </t>
  </si>
  <si>
    <t>PRE-MEETING WORKSHOPS</t>
  </si>
  <si>
    <t>408.010.4460</t>
  </si>
  <si>
    <t>EXHIBIT EXPENSES</t>
  </si>
  <si>
    <t>408.010.4480</t>
  </si>
  <si>
    <t>COFFEE BREAKS</t>
  </si>
  <si>
    <t>BULK  MAIL SERVICE FEES</t>
  </si>
  <si>
    <t>408.010.4421</t>
  </si>
  <si>
    <t>MEMB. LUNCHEON</t>
  </si>
  <si>
    <t>408.010.4462</t>
  </si>
  <si>
    <t>Convention Ctr Fees</t>
  </si>
  <si>
    <t>408.010.4490</t>
  </si>
  <si>
    <t>TOURS</t>
  </si>
  <si>
    <t>408.010.4495</t>
  </si>
  <si>
    <t>408.010.4540</t>
  </si>
  <si>
    <t>AM-TOTE BAG EXPENSE</t>
  </si>
  <si>
    <t>408.010.4520</t>
  </si>
  <si>
    <t>EVENT CANCELLATION, INSURANCE, ASCAP</t>
  </si>
  <si>
    <t>408.010.4491</t>
  </si>
  <si>
    <t>EVENING EVENTS</t>
  </si>
  <si>
    <t>408.010.4580</t>
  </si>
  <si>
    <t>Includes preliminary guide, onsite guide, awards program, schedule at a glance</t>
  </si>
  <si>
    <t>408.010.4583</t>
  </si>
  <si>
    <t>Learning Times</t>
  </si>
  <si>
    <t>Travel for 2 LT staffers for online conference</t>
  </si>
  <si>
    <t>409.020.4480</t>
  </si>
  <si>
    <t>Photographer/Florist</t>
  </si>
  <si>
    <t>Speaker Books for Sale</t>
  </si>
  <si>
    <t>408.010.4412</t>
  </si>
  <si>
    <t>Fundraising-Unrestricted</t>
  </si>
  <si>
    <t>409.010.4110</t>
  </si>
  <si>
    <t>409.010.4200</t>
  </si>
  <si>
    <t>CONTRACT SERVICES - CtrNonMgmt</t>
  </si>
  <si>
    <t>409.010.4470</t>
  </si>
  <si>
    <t>409.010.4520</t>
  </si>
  <si>
    <t>STATE SOLICITATION LICENSE</t>
  </si>
  <si>
    <t>409.010.4580</t>
  </si>
  <si>
    <t>SHAM</t>
  </si>
  <si>
    <t>409.050.4200</t>
  </si>
  <si>
    <t>409.050.4480</t>
  </si>
  <si>
    <t>Food &amp; Beverage</t>
  </si>
  <si>
    <t>Visitors Count</t>
  </si>
  <si>
    <t>409.091.4100</t>
  </si>
  <si>
    <t>409.091.4110</t>
  </si>
  <si>
    <t>409.091.4120</t>
  </si>
  <si>
    <t>409.091.4150</t>
  </si>
  <si>
    <t>409.091.4200</t>
  </si>
  <si>
    <t>409.091.4220</t>
  </si>
  <si>
    <t>CONSULTANT TRAVEL</t>
  </si>
  <si>
    <t>409.091.4340</t>
  </si>
  <si>
    <t>409.091.4480</t>
  </si>
  <si>
    <t>MEETING ROOM EXPENSES</t>
  </si>
  <si>
    <t>409.091.4550</t>
  </si>
  <si>
    <t>SURVEY FEES</t>
  </si>
  <si>
    <t>409.091.4580</t>
  </si>
  <si>
    <t>Affinity Groups</t>
  </si>
  <si>
    <t>409.100.4100</t>
  </si>
  <si>
    <t>409.100.4110</t>
  </si>
  <si>
    <t>409.100.4120</t>
  </si>
  <si>
    <t>409.100.4150</t>
  </si>
  <si>
    <t>409.100.4360</t>
  </si>
  <si>
    <t>WEB SERVICES</t>
  </si>
  <si>
    <t>409.100.4580</t>
  </si>
  <si>
    <t>OHMF</t>
  </si>
  <si>
    <t>409.120.4140</t>
  </si>
  <si>
    <t>INTERNET ACCESS</t>
  </si>
  <si>
    <t>On hiatus</t>
  </si>
  <si>
    <t>409.120.4201</t>
  </si>
  <si>
    <t>REGISTRANT SERVICES</t>
  </si>
  <si>
    <t>409.120.4200</t>
  </si>
  <si>
    <t>409.140.4200</t>
  </si>
  <si>
    <t>Advocacy</t>
  </si>
  <si>
    <t>409.151.4600</t>
  </si>
  <si>
    <t>409.151.4200</t>
  </si>
  <si>
    <t>StEPS Program</t>
  </si>
  <si>
    <t>409.160.4100</t>
  </si>
  <si>
    <t>409.160.4110</t>
  </si>
  <si>
    <t>409.160.4120</t>
  </si>
  <si>
    <t>409.160.4150</t>
  </si>
  <si>
    <t>409.160.4200</t>
  </si>
  <si>
    <t>409.160.4220</t>
  </si>
  <si>
    <t>SPEAKER HONORARIUM FOR ONLINE CONFERENCE</t>
  </si>
  <si>
    <t>409.160.4340</t>
  </si>
  <si>
    <t>CONTRACT SERVICES--Basecamp</t>
  </si>
  <si>
    <t>409.160.4360</t>
  </si>
  <si>
    <t>Online conference</t>
  </si>
  <si>
    <t>409.160.4580</t>
  </si>
  <si>
    <t>Design</t>
  </si>
  <si>
    <t>Equipment</t>
  </si>
  <si>
    <t>Meeting Expenses</t>
  </si>
  <si>
    <t>ExCEL Grant</t>
  </si>
  <si>
    <t>409.300.</t>
  </si>
  <si>
    <t>Overall expenses</t>
  </si>
  <si>
    <t>409.170.4480</t>
  </si>
  <si>
    <t>MEETING EXPENSE/SCHOLARSHIPS</t>
  </si>
  <si>
    <t>Field Service Alliance</t>
  </si>
  <si>
    <t>409.310.4110</t>
  </si>
  <si>
    <t>409.310.4120</t>
  </si>
  <si>
    <t>409.310.4150</t>
  </si>
  <si>
    <t>409.310.4200</t>
  </si>
  <si>
    <t>409.340.4200</t>
  </si>
  <si>
    <t>409.340.4480</t>
  </si>
  <si>
    <t>Workshop Series</t>
  </si>
  <si>
    <t>410.030.4100</t>
  </si>
  <si>
    <t>410.030.4110</t>
  </si>
  <si>
    <t>410.030.4120</t>
  </si>
  <si>
    <t>410.030.4200</t>
  </si>
  <si>
    <t>410.030.4220</t>
  </si>
  <si>
    <t>FACULTY TRAVEL</t>
  </si>
  <si>
    <t>410.030.4230</t>
  </si>
  <si>
    <t>FACULTY HONORARIUM</t>
  </si>
  <si>
    <t>410.030.4410</t>
  </si>
  <si>
    <t>410.030.4480</t>
  </si>
  <si>
    <t>REGISTRANT'S SERVICES</t>
  </si>
  <si>
    <t>SHA Contra Account</t>
  </si>
  <si>
    <t>410.060.4110</t>
  </si>
  <si>
    <t>410.060.4120</t>
  </si>
  <si>
    <t>410.060.4150</t>
  </si>
  <si>
    <t>410.060.4200</t>
  </si>
  <si>
    <t>410.060.4220</t>
  </si>
  <si>
    <t>COORDINATOR TRAVEL</t>
  </si>
  <si>
    <t>410.060.4225</t>
  </si>
  <si>
    <t>410.060.4230</t>
  </si>
  <si>
    <t>SHA COORDINATOR STIPEND</t>
  </si>
  <si>
    <t>410.060.4240</t>
  </si>
  <si>
    <t>410.060.4242</t>
  </si>
  <si>
    <t>CLASS LODGING</t>
  </si>
  <si>
    <t>410.060.4600</t>
  </si>
  <si>
    <t>SCHOLARSHIP</t>
  </si>
  <si>
    <t>Online Workshops</t>
  </si>
  <si>
    <t>410.070.4100</t>
  </si>
  <si>
    <t>410.070.4110</t>
  </si>
  <si>
    <t>410.070.4120</t>
  </si>
  <si>
    <t>410.070.4150</t>
  </si>
  <si>
    <t>410.070.4230</t>
  </si>
  <si>
    <t>410.070.4235</t>
  </si>
  <si>
    <t>Course Development</t>
  </si>
  <si>
    <t>410.070.4360</t>
  </si>
  <si>
    <t>WEBSITE SERVICES</t>
  </si>
  <si>
    <t>Membership Acquisitions</t>
  </si>
  <si>
    <t>411.040.4100</t>
  </si>
  <si>
    <t>411.040.4110</t>
  </si>
  <si>
    <t>411.040.4120</t>
  </si>
  <si>
    <t>411.040.4410</t>
  </si>
  <si>
    <t>411.040.4470</t>
  </si>
  <si>
    <t>BULK MAIL SERVICE FEES</t>
  </si>
  <si>
    <t>411.040.4580</t>
  </si>
  <si>
    <t>Membership General</t>
  </si>
  <si>
    <t>411.050.4100</t>
  </si>
  <si>
    <t>411.050.4200</t>
  </si>
  <si>
    <t>411.050.4110</t>
  </si>
  <si>
    <t>411.050.4120</t>
  </si>
  <si>
    <t>411.050.4150</t>
  </si>
  <si>
    <t>411.050.4470</t>
  </si>
  <si>
    <t>411.050.4550</t>
  </si>
  <si>
    <t>SURVEY</t>
  </si>
  <si>
    <t>Marketing</t>
  </si>
  <si>
    <t>411.060.4100</t>
  </si>
  <si>
    <t>411.060.4110</t>
  </si>
  <si>
    <t>411.060.4120</t>
  </si>
  <si>
    <t>GENERAL Marketing</t>
  </si>
  <si>
    <t>411.060.4380</t>
  </si>
  <si>
    <t>411.060.4200</t>
  </si>
  <si>
    <t>411.060.4340</t>
  </si>
  <si>
    <t>411.060.4360</t>
  </si>
  <si>
    <t>WEBSITE</t>
  </si>
  <si>
    <t>DESIGN</t>
  </si>
  <si>
    <t>411.060.4460</t>
  </si>
  <si>
    <t>PROMO MATERIALS</t>
  </si>
  <si>
    <t>411.060.4580</t>
  </si>
  <si>
    <t>ONLINE ADVERTISING</t>
  </si>
  <si>
    <t>411.060.5000</t>
  </si>
  <si>
    <t>MTG. REPRESENTATION</t>
  </si>
  <si>
    <t>History News</t>
  </si>
  <si>
    <t>411.070.4100</t>
  </si>
  <si>
    <t>411.070.4110</t>
  </si>
  <si>
    <t>411.070.4340</t>
  </si>
  <si>
    <t>EDITORIAL SERVICES</t>
  </si>
  <si>
    <t>411.070.4380</t>
  </si>
  <si>
    <t>411.070.4470</t>
  </si>
  <si>
    <t>411.070.4580</t>
  </si>
  <si>
    <t>JSTOR Member Access</t>
  </si>
  <si>
    <t>Dispatch</t>
  </si>
  <si>
    <t>411.080.4110</t>
  </si>
  <si>
    <t>411.080.4120</t>
  </si>
  <si>
    <t>DUPLICATION</t>
  </si>
  <si>
    <t>411.080.41500</t>
  </si>
  <si>
    <t>411.080.4340</t>
  </si>
  <si>
    <t>411.080.4470</t>
  </si>
  <si>
    <t>BULK MAIL SERVICES</t>
  </si>
  <si>
    <t>413.020.5000</t>
  </si>
  <si>
    <t>AWARDS--ALDERSON</t>
  </si>
  <si>
    <t>413.020.5053</t>
  </si>
  <si>
    <t>AWARDS-COREY</t>
  </si>
  <si>
    <t>Net</t>
  </si>
  <si>
    <t>400.000.3741</t>
  </si>
  <si>
    <t>Account ID</t>
  </si>
  <si>
    <t>Year to Date</t>
  </si>
  <si>
    <t>Year to Date
Budget</t>
  </si>
  <si>
    <t>Revenues</t>
  </si>
  <si>
    <t>AM-Marketing Exhibits/SALES</t>
  </si>
  <si>
    <t>ANN MTG - PROGRAM ADS</t>
  </si>
  <si>
    <t>SALES-AD HIST. NEWS</t>
  </si>
  <si>
    <t>SALES-AD DISPATCH</t>
  </si>
  <si>
    <t>400.000.3659</t>
  </si>
  <si>
    <t>SITES OF CONSCIENCE</t>
  </si>
  <si>
    <t>400.000.3660</t>
  </si>
  <si>
    <t>MEMBERSHIP DUES</t>
  </si>
  <si>
    <t>ANN MTG - REGISTRATION</t>
  </si>
  <si>
    <t>AM-Miscellaneous</t>
  </si>
  <si>
    <t>ANNUAL MEETING-WORKSHOPS</t>
  </si>
  <si>
    <t>AM-LUNCHEONS &amp; BREAKFAST</t>
  </si>
  <si>
    <t>ANNUAL MEETING-TOURS</t>
  </si>
  <si>
    <t>ANNUAL MEETING WEBCAST</t>
  </si>
  <si>
    <t>NORTON ROYALTIES</t>
  </si>
  <si>
    <t>JSTOR REVENUE SHARES</t>
  </si>
  <si>
    <t>ALTAMIRA ROYALTIES</t>
  </si>
  <si>
    <t>PASTPERFECT ROYALTIES</t>
  </si>
  <si>
    <t>VISITORS COUNT!</t>
  </si>
  <si>
    <t>400.000.3775</t>
  </si>
  <si>
    <t>AAM LUNCHEON /SPONSORSHIP</t>
  </si>
  <si>
    <t>SALES - BOOKSTORE</t>
  </si>
  <si>
    <t>STEPS PROGRAM</t>
  </si>
  <si>
    <t>400.000.3816</t>
  </si>
  <si>
    <t>Humanities Tennessee Grant</t>
  </si>
  <si>
    <t>AM PUBLICATION REVENUE</t>
  </si>
  <si>
    <t>MAILING LIST RENTAL</t>
  </si>
  <si>
    <t>75th Anniversary 75 for 75</t>
  </si>
  <si>
    <t>AASLH ENDOWMENT</t>
  </si>
  <si>
    <t>ANNUAL FUND CONTRIBUTIONS</t>
  </si>
  <si>
    <t>SHA SPONSORSHIP</t>
  </si>
  <si>
    <t>400.000.3882A</t>
  </si>
  <si>
    <t>SHA SPONSORSHIPS</t>
  </si>
  <si>
    <t>SHA TUITION</t>
  </si>
  <si>
    <t>SHA - Lodging</t>
  </si>
  <si>
    <t>ANN MTG - SPONSORS</t>
  </si>
  <si>
    <t>ANN MTG - SPECIAL EVENTS</t>
  </si>
  <si>
    <t>EMPLOYEE HEALTH PYMTS</t>
  </si>
  <si>
    <t>CAROL K. KAMMEN</t>
  </si>
  <si>
    <t>400.000.4300</t>
  </si>
  <si>
    <t>COSHRC Grant</t>
  </si>
  <si>
    <t>WORKSHOP SERIES REGISTRATION</t>
  </si>
  <si>
    <t>400.000.4601</t>
  </si>
  <si>
    <t>Workshop Sponsorship</t>
  </si>
  <si>
    <t>ON LINE WORKSHOP SERIES</t>
  </si>
  <si>
    <t>400.020.5020</t>
  </si>
  <si>
    <t>GAIN/LOSS/DIVIDENDS-ALDERSON</t>
  </si>
  <si>
    <t>400.020.5030</t>
  </si>
  <si>
    <t>GAIN/LOSS/DIVIDENDS-COREY</t>
  </si>
  <si>
    <t>400.020.5040</t>
  </si>
  <si>
    <t>GAIN/LOSS/DIVIDENDS-HEROLD</t>
  </si>
  <si>
    <t>400.020.5050</t>
  </si>
  <si>
    <t>GAIN/LOSS/DIVIDENDS-EVELYN</t>
  </si>
  <si>
    <t>400.020.5060</t>
  </si>
  <si>
    <t>GAIN/LOSS/DIVIDED-UNRESTRICTED</t>
  </si>
  <si>
    <t>400.020.5070</t>
  </si>
  <si>
    <t>GAIN/LOSS/DIVIDAASLH ENDOWMENT</t>
  </si>
  <si>
    <t>400.020.5075</t>
  </si>
  <si>
    <t>GAIN/LOSS/DI-CEO DEFERRED COMP</t>
  </si>
  <si>
    <t>400.020.5090</t>
  </si>
  <si>
    <t>ENDOWMENT ROLLING AVERAGE</t>
  </si>
  <si>
    <t>400.030.5020</t>
  </si>
  <si>
    <t>INTERFUND TRANSFER-ALDERSON</t>
  </si>
  <si>
    <t>Total Revenues, Gains &amp; Other Support</t>
  </si>
  <si>
    <t>Expenditures</t>
  </si>
  <si>
    <t>402.000.4010</t>
  </si>
  <si>
    <t>SALARIES-Leadership &amp; Governan</t>
  </si>
  <si>
    <t>402.000.4050</t>
  </si>
  <si>
    <t>FICA TAXES</t>
  </si>
  <si>
    <t>402.000.4060</t>
  </si>
  <si>
    <t>MEDICAL INSURANCE</t>
  </si>
  <si>
    <t>402.000.4070</t>
  </si>
  <si>
    <t>402.000.4080</t>
  </si>
  <si>
    <t>402.000.4160</t>
  </si>
  <si>
    <t>402.000.4166</t>
  </si>
  <si>
    <t>PROFESSIONAL DUES AND SPONSORS</t>
  </si>
  <si>
    <t>402.000.4320</t>
  </si>
  <si>
    <t>SALARIES-General Operating</t>
  </si>
  <si>
    <t>SUI TAXES</t>
  </si>
  <si>
    <t>GIFTS - MEMORIALS -APPRECIATIO</t>
  </si>
  <si>
    <t>EQUIPMENT LEASES</t>
  </si>
  <si>
    <t>EQUIPMENT MAINTENANCE/PURCHASE</t>
  </si>
  <si>
    <t>CREDIT CARD DISCOUNT EXPENSE</t>
  </si>
  <si>
    <t>407.010.4010</t>
  </si>
  <si>
    <t>SALARIES-Awards Committee Expe</t>
  </si>
  <si>
    <t>407.010.4050</t>
  </si>
  <si>
    <t>407.010.4060</t>
  </si>
  <si>
    <t>407.010.4070</t>
  </si>
  <si>
    <t>407.010.4080</t>
  </si>
  <si>
    <t>407.010.4150</t>
  </si>
  <si>
    <t>407.010.4160</t>
  </si>
  <si>
    <t>407.010.4166</t>
  </si>
  <si>
    <t>407.010.4320</t>
  </si>
  <si>
    <t>407.010.4390</t>
  </si>
  <si>
    <t>COREY AWARD/CUP/FRAME</t>
  </si>
  <si>
    <t>408.010.4010</t>
  </si>
  <si>
    <t>SALARIES-Annual Meeting</t>
  </si>
  <si>
    <t>408.010.4050</t>
  </si>
  <si>
    <t>408.010.4060</t>
  </si>
  <si>
    <t>408.010.4070</t>
  </si>
  <si>
    <t>408.010.4080</t>
  </si>
  <si>
    <t>408.010.4160</t>
  </si>
  <si>
    <t>408.010.4166</t>
  </si>
  <si>
    <t>HOST PROGRAM COMMITTEE</t>
  </si>
  <si>
    <t>408.010.4320</t>
  </si>
  <si>
    <t>408.010.4390</t>
  </si>
  <si>
    <t>AFFINITY GROUP LUNCHEONS</t>
  </si>
  <si>
    <t>MEMBERSHIP LUNCHEON</t>
  </si>
  <si>
    <t>408.010.4425</t>
  </si>
  <si>
    <t>CEO FORM</t>
  </si>
  <si>
    <t>408.010.4440</t>
  </si>
  <si>
    <t>SESSION EXPENSE</t>
  </si>
  <si>
    <t>AM EVENING EVENTS</t>
  </si>
  <si>
    <t>BOOKS  FOR SPEAKERS</t>
  </si>
  <si>
    <t>408.010.4510</t>
  </si>
  <si>
    <t>SPECIAL EVENTS FEES</t>
  </si>
  <si>
    <t>EVENT INSURANCE &amp; ASCAP</t>
  </si>
  <si>
    <t>LEARNING TIME ONLINE CONF</t>
  </si>
  <si>
    <t>409.010.4150</t>
  </si>
  <si>
    <t>409.010.4380</t>
  </si>
  <si>
    <t>State Solicitation License</t>
  </si>
  <si>
    <t>409.091.4010</t>
  </si>
  <si>
    <t>SALARIES-Visitor Count</t>
  </si>
  <si>
    <t>409.091.4050</t>
  </si>
  <si>
    <t>409.091.4060</t>
  </si>
  <si>
    <t>409.091.4070</t>
  </si>
  <si>
    <t>409.091.4080</t>
  </si>
  <si>
    <t>409.091.4160</t>
  </si>
  <si>
    <t>409.091.4166</t>
  </si>
  <si>
    <t>409.091.4320</t>
  </si>
  <si>
    <t>409.091.4390</t>
  </si>
  <si>
    <t>409.100.4010</t>
  </si>
  <si>
    <t>SALARIES-Historic House</t>
  </si>
  <si>
    <t>409.100.4050</t>
  </si>
  <si>
    <t>409.100.4060</t>
  </si>
  <si>
    <t>409.100.4070</t>
  </si>
  <si>
    <t>409.100.4080</t>
  </si>
  <si>
    <t>409.100.4166</t>
  </si>
  <si>
    <t>409.100.4320</t>
  </si>
  <si>
    <t>409.100.4390</t>
  </si>
  <si>
    <t>409.160.4010</t>
  </si>
  <si>
    <t>SALARIES-StEPS PROGRAM</t>
  </si>
  <si>
    <t>409.160.4050</t>
  </si>
  <si>
    <t>409.160.4060</t>
  </si>
  <si>
    <t>409.160.4070</t>
  </si>
  <si>
    <t>409.160.4080</t>
  </si>
  <si>
    <t>409.160.4160</t>
  </si>
  <si>
    <t>409.160.4166</t>
  </si>
  <si>
    <t>409.160.4230A</t>
  </si>
  <si>
    <t>SPEAKERS FEES</t>
  </si>
  <si>
    <t>409.160.4320</t>
  </si>
  <si>
    <t>409.160.4380</t>
  </si>
  <si>
    <t>409.160.4390</t>
  </si>
  <si>
    <t>409.160.4425</t>
  </si>
  <si>
    <t>MEETING EXPENSE CMT FND GRANT</t>
  </si>
  <si>
    <t>409.170.4150</t>
  </si>
  <si>
    <t>409.190.4010</t>
  </si>
  <si>
    <t>SALARIES-Educators &amp; Interpret</t>
  </si>
  <si>
    <t>409.190.4050</t>
  </si>
  <si>
    <t>FICA Taxes</t>
  </si>
  <si>
    <t>409.190.4060</t>
  </si>
  <si>
    <t>HEALTH/DENTAL/LIFE INSURANCE</t>
  </si>
  <si>
    <t>409.190.4070</t>
  </si>
  <si>
    <t>409.190.4080</t>
  </si>
  <si>
    <t>409.190.4100</t>
  </si>
  <si>
    <t>409.190.4110</t>
  </si>
  <si>
    <t>409.190.4120</t>
  </si>
  <si>
    <t>409.190.4150</t>
  </si>
  <si>
    <t>409.190.4166</t>
  </si>
  <si>
    <t>409.190.4320</t>
  </si>
  <si>
    <t>409.190.4390</t>
  </si>
  <si>
    <t>409.240.4010</t>
  </si>
  <si>
    <t>SALARIES-Visitor's Voice</t>
  </si>
  <si>
    <t>409.240.4050</t>
  </si>
  <si>
    <t>409.240.4060</t>
  </si>
  <si>
    <t>409.240.4070</t>
  </si>
  <si>
    <t>LONG-TERM DISABILITY INSURANCE</t>
  </si>
  <si>
    <t>409.240.4080</t>
  </si>
  <si>
    <t>409.240.4100</t>
  </si>
  <si>
    <t>409.240.4110</t>
  </si>
  <si>
    <t>409.240.4120</t>
  </si>
  <si>
    <t>409.240.4150</t>
  </si>
  <si>
    <t>409.240.4166</t>
  </si>
  <si>
    <t>409.240.4320</t>
  </si>
  <si>
    <t>409.240.4390</t>
  </si>
  <si>
    <t>Staff Travel</t>
  </si>
  <si>
    <t>410.030.4010</t>
  </si>
  <si>
    <t>SALARIES-Workshop Series</t>
  </si>
  <si>
    <t>410.030.4050</t>
  </si>
  <si>
    <t>410.030.4060</t>
  </si>
  <si>
    <t>410.030.4070</t>
  </si>
  <si>
    <t>410.030.4080</t>
  </si>
  <si>
    <t>410.030.4150</t>
  </si>
  <si>
    <t>410.030.4160</t>
  </si>
  <si>
    <t>410.030.4166</t>
  </si>
  <si>
    <t>410.030.4320</t>
  </si>
  <si>
    <t>410.030.4390</t>
  </si>
  <si>
    <t>SALARIES-SHA</t>
  </si>
  <si>
    <t>410.060.4050</t>
  </si>
  <si>
    <t>410.060.4060</t>
  </si>
  <si>
    <t>410.060.4070</t>
  </si>
  <si>
    <t>410.060.4080</t>
  </si>
  <si>
    <t>410.060.4100</t>
  </si>
  <si>
    <t>410.060.4166</t>
  </si>
  <si>
    <t>SEMINAR EXPENSES</t>
  </si>
  <si>
    <t>410.060.4235</t>
  </si>
  <si>
    <t>WEB SITE DESIGN</t>
  </si>
  <si>
    <t>410.060.4320</t>
  </si>
  <si>
    <t>410.060.4390</t>
  </si>
  <si>
    <t>SPONSORSHIP/SCHOLARSHIP</t>
  </si>
  <si>
    <t>410.070.4010</t>
  </si>
  <si>
    <t>SALARIES-OnLine Workshops</t>
  </si>
  <si>
    <t>410.070.4050</t>
  </si>
  <si>
    <t>410.070.4060</t>
  </si>
  <si>
    <t>410.070.4070</t>
  </si>
  <si>
    <t>410.070.4080</t>
  </si>
  <si>
    <t>410.070.4166</t>
  </si>
  <si>
    <t>E-LEARNING CONSULTANT</t>
  </si>
  <si>
    <t>410.070.4320</t>
  </si>
  <si>
    <t>WEB SITE SERVICES</t>
  </si>
  <si>
    <t>410.070.4390</t>
  </si>
  <si>
    <t>411.030.4150</t>
  </si>
  <si>
    <t>411.050.4010</t>
  </si>
  <si>
    <t>SALARIES-Membership-General</t>
  </si>
  <si>
    <t>411.050.4050</t>
  </si>
  <si>
    <t>411.050.4060</t>
  </si>
  <si>
    <t>411.050.4070</t>
  </si>
  <si>
    <t>411.050.4080</t>
  </si>
  <si>
    <t>411.050.4166</t>
  </si>
  <si>
    <t>411.050.4320</t>
  </si>
  <si>
    <t>411.050.4390</t>
  </si>
  <si>
    <t>411.050.4580</t>
  </si>
  <si>
    <t>411.060.4010</t>
  </si>
  <si>
    <t>SALARIES-Marketing</t>
  </si>
  <si>
    <t>411.060.4050</t>
  </si>
  <si>
    <t>411.060.4060</t>
  </si>
  <si>
    <t>411.060.4070</t>
  </si>
  <si>
    <t>411.060.4080</t>
  </si>
  <si>
    <t>411.060.4140</t>
  </si>
  <si>
    <t>General Marketing</t>
  </si>
  <si>
    <t>411.060.4150</t>
  </si>
  <si>
    <t>411.060.4166</t>
  </si>
  <si>
    <t>411.060.4320</t>
  </si>
  <si>
    <t>411.060.4390</t>
  </si>
  <si>
    <t>411.060.4410</t>
  </si>
  <si>
    <t>411.060.4440</t>
  </si>
  <si>
    <t>411.060.4481</t>
  </si>
  <si>
    <t>REGIONAL MTG REPRESENTATION</t>
  </si>
  <si>
    <t>411.070.4010</t>
  </si>
  <si>
    <t>SALARIES-History News</t>
  </si>
  <si>
    <t>411.070.4050</t>
  </si>
  <si>
    <t>411.070.4060</t>
  </si>
  <si>
    <t>411.070.4070</t>
  </si>
  <si>
    <t>411.070.4080</t>
  </si>
  <si>
    <t>411.070.4120</t>
  </si>
  <si>
    <t>411.070.4150</t>
  </si>
  <si>
    <t>411.070.4160</t>
  </si>
  <si>
    <t>411.070.4166</t>
  </si>
  <si>
    <t>411.070.4320</t>
  </si>
  <si>
    <t>411.070.4390</t>
  </si>
  <si>
    <t>411.080.4010</t>
  </si>
  <si>
    <t>SALARIES-Dispatch</t>
  </si>
  <si>
    <t>411.080.4050</t>
  </si>
  <si>
    <t>411.080.4070</t>
  </si>
  <si>
    <t>411.080.4080</t>
  </si>
  <si>
    <t>411.080.4100</t>
  </si>
  <si>
    <t>411.080.4166</t>
  </si>
  <si>
    <t>411.080.4320</t>
  </si>
  <si>
    <t>Contracts Web Services/Surveys</t>
  </si>
  <si>
    <t>411.080.4390</t>
  </si>
  <si>
    <t>ALDERSON INTERNSHIP PROGRAM</t>
  </si>
  <si>
    <t>413.020.5050</t>
  </si>
  <si>
    <t>AWARDS-EVELYN</t>
  </si>
  <si>
    <t>Total Expenditures</t>
  </si>
  <si>
    <t>Excess Revenues Over Expenditures</t>
  </si>
  <si>
    <t>TOTAL</t>
  </si>
  <si>
    <t>Contra Account</t>
  </si>
  <si>
    <t>REGISTRATION HOSPITALITY</t>
  </si>
  <si>
    <t>AASLH Quarterly Dashboard</t>
  </si>
  <si>
    <t>As of Audit  6/30/2016 -Update 2/13/17</t>
  </si>
  <si>
    <t>BALANCE SHEET RECAP</t>
  </si>
  <si>
    <t>Statement of Revenues and Expenditures</t>
  </si>
  <si>
    <t>FY2015 Budget</t>
  </si>
  <si>
    <t>FY2016 APPROVED BUDGET</t>
  </si>
  <si>
    <t>YTD      Actual</t>
  </si>
  <si>
    <t>YTD Budget</t>
  </si>
  <si>
    <t>YTD VARIANCE</t>
  </si>
  <si>
    <t>Notes</t>
  </si>
  <si>
    <t>Assets</t>
  </si>
  <si>
    <t xml:space="preserve"> Approved:</t>
  </si>
  <si>
    <t>June 2015</t>
  </si>
  <si>
    <t>Cash/Cash Equivalents</t>
  </si>
  <si>
    <t>Earned Revenues</t>
  </si>
  <si>
    <t>Total Property/Equipment</t>
  </si>
  <si>
    <t>Membership</t>
  </si>
  <si>
    <t>Other Assets</t>
  </si>
  <si>
    <t>Contributed/Generated Income Workshops, Grants, Programs</t>
  </si>
  <si>
    <t>Total Cash /Assets</t>
  </si>
  <si>
    <t>Annual Meeting (Louisville)</t>
  </si>
  <si>
    <t>Endowment/Transfers</t>
  </si>
  <si>
    <t>Vanguard gains</t>
  </si>
  <si>
    <t>Note only. Not in column total.</t>
  </si>
  <si>
    <t>Liabilities</t>
  </si>
  <si>
    <t>Total Revenues</t>
  </si>
  <si>
    <t>Current Short Term</t>
  </si>
  <si>
    <t>Long Term</t>
  </si>
  <si>
    <t>EXPENSES</t>
  </si>
  <si>
    <t>Total Liabilities</t>
  </si>
  <si>
    <t>Human Resource</t>
  </si>
  <si>
    <t>Capital</t>
  </si>
  <si>
    <t>Salaries &amp; Wages</t>
  </si>
  <si>
    <t>AM per-paid, intern not included in budget</t>
  </si>
  <si>
    <t>Total Liabilities &amp; Capital</t>
  </si>
  <si>
    <t>FICA/SUI/WC</t>
  </si>
  <si>
    <t>Benefit- Med/Den/STD/LTD</t>
  </si>
  <si>
    <t>Retirement Savings Plan</t>
  </si>
  <si>
    <t>REGIONS BANK ACCT</t>
  </si>
  <si>
    <t>Total Human Resource</t>
  </si>
  <si>
    <t>VANGUARD</t>
  </si>
  <si>
    <t>MISC ACCTS</t>
  </si>
  <si>
    <t>Semi-Fixed Expenses</t>
  </si>
  <si>
    <t>ACCT RECEIVABLES</t>
  </si>
  <si>
    <t xml:space="preserve">  Building  &amp; Maintenance</t>
  </si>
  <si>
    <t>GRANTS RECEIVABLES</t>
  </si>
  <si>
    <t xml:space="preserve">  Business Insurance</t>
  </si>
  <si>
    <t>SPECIAL CAMPAIGN-A/R</t>
  </si>
  <si>
    <t xml:space="preserve">  Technology Infrastructure</t>
  </si>
  <si>
    <t>Purchase of YM data software</t>
  </si>
  <si>
    <t>VISITORS COUNT A/R</t>
  </si>
  <si>
    <t xml:space="preserve">  Utilities</t>
  </si>
  <si>
    <t>ENDOWMENT PLEDGE-A/R</t>
  </si>
  <si>
    <t>Total Semi-Fixed Expenses</t>
  </si>
  <si>
    <t>ALLOWANCE DOUBTFUL ACCT</t>
  </si>
  <si>
    <t>RESTITUTION-A/R</t>
  </si>
  <si>
    <t>Departmental Expenses</t>
  </si>
  <si>
    <t>RESTITUTION PRESENT VALUE</t>
  </si>
  <si>
    <t xml:space="preserve">  Programs</t>
  </si>
  <si>
    <t>CASH BALANCE</t>
  </si>
  <si>
    <t xml:space="preserve">  Annual Meeting (Louisville)</t>
  </si>
  <si>
    <t xml:space="preserve">  General Office</t>
  </si>
  <si>
    <t xml:space="preserve">  Staff Development</t>
  </si>
  <si>
    <t>Total Departmental Expenses</t>
  </si>
  <si>
    <t>Total Revenue</t>
  </si>
  <si>
    <t>Total Expenses</t>
  </si>
  <si>
    <t>Net Surplus/(Deficit)</t>
  </si>
  <si>
    <t xml:space="preserve">$72,236 of Actual surplus is Vanguard gains </t>
  </si>
  <si>
    <t>400.000.3717</t>
  </si>
  <si>
    <t>AM HOTEL REBATE</t>
  </si>
  <si>
    <t>400.000.3731</t>
  </si>
  <si>
    <t>PARTNER EVENTS</t>
  </si>
  <si>
    <t>400.000.3883a</t>
  </si>
  <si>
    <t>Revenue, Contra account</t>
  </si>
  <si>
    <t>400.000.3885</t>
  </si>
  <si>
    <t>SHA ACCRUAL TRANSFER</t>
  </si>
  <si>
    <t>SMALL MUSEUM ASSOC SPONSORSHIP</t>
  </si>
  <si>
    <t>400.000.3972</t>
  </si>
  <si>
    <t>History Relevance Campaign</t>
  </si>
  <si>
    <t>402.050.4340</t>
  </si>
  <si>
    <t>HIST RELEVANCE CONTRACTS</t>
  </si>
  <si>
    <t>405.010.4352</t>
  </si>
  <si>
    <t>405.012.4100</t>
  </si>
  <si>
    <t>MOVE - SUPPLIES</t>
  </si>
  <si>
    <t>405.012.4150</t>
  </si>
  <si>
    <t>PHONE INSTALL</t>
  </si>
  <si>
    <t>405.012.4160</t>
  </si>
  <si>
    <t>405.012.4168</t>
  </si>
  <si>
    <t>BUILDING &amp; MAINTENANCE</t>
  </si>
  <si>
    <t>405.012.4350</t>
  </si>
  <si>
    <t>COMPUTER MAINT</t>
  </si>
  <si>
    <t>SHARED PARTNER EVENTS</t>
  </si>
  <si>
    <t>CONVENTION CTR FEES</t>
  </si>
  <si>
    <t>408.010.4470</t>
  </si>
  <si>
    <t>408.010.4584</t>
  </si>
  <si>
    <t>PHOTOGRAPHER &amp; FLORIST</t>
  </si>
  <si>
    <t>409.010.4340</t>
  </si>
  <si>
    <t>CONTRACT SERVICES-CTR NON MGMT</t>
  </si>
  <si>
    <t>TASK FORCE TRAVEL</t>
  </si>
  <si>
    <t>411.060.4586</t>
  </si>
  <si>
    <t>ON LINE ADVERTISING</t>
  </si>
  <si>
    <t>411.070.4581</t>
  </si>
  <si>
    <t>JSTOR MEMBER ACCESS</t>
  </si>
  <si>
    <t>Salaries &amp; Related Expenses</t>
  </si>
  <si>
    <t>FY 2017 Budget</t>
  </si>
  <si>
    <t>HISTORY  RELEVANCE CONTRACTS</t>
  </si>
  <si>
    <t>Luncheons and Breakfasts</t>
  </si>
  <si>
    <t>PRE/POST MEETING WORKSHOPS</t>
  </si>
  <si>
    <t>StEPS Decal</t>
  </si>
  <si>
    <t>Faculty Honorarium</t>
  </si>
  <si>
    <t>Faculty Travel</t>
  </si>
  <si>
    <t>Public Presentation</t>
  </si>
  <si>
    <t>IHS Expenses</t>
  </si>
  <si>
    <t>Marketing/Postcard</t>
  </si>
  <si>
    <t>Promotion/Recruitment</t>
  </si>
  <si>
    <t>Affinity Partner Royalties</t>
  </si>
  <si>
    <t>Tennessee Humanities Grant</t>
  </si>
  <si>
    <t>BOOK FOR SPEAKERS - SALES</t>
  </si>
  <si>
    <t>PARTNER EVENTS/SHARE</t>
  </si>
  <si>
    <t>Inclusive Historian's Handbook Website</t>
  </si>
  <si>
    <t>Comments</t>
  </si>
  <si>
    <t xml:space="preserve">Contributed/Generated Income Workshops, Grants, Programs </t>
  </si>
  <si>
    <t>Marketing and Sales</t>
  </si>
  <si>
    <t>Royalties</t>
  </si>
  <si>
    <t>Fundraising</t>
  </si>
  <si>
    <t xml:space="preserve">Alderson Internship/In-Kind </t>
  </si>
  <si>
    <t xml:space="preserve">Small Museum </t>
  </si>
  <si>
    <t>Insurance settlement</t>
  </si>
  <si>
    <t>Kammen/Special Campaign</t>
  </si>
  <si>
    <t>Programs</t>
  </si>
  <si>
    <t>SHAM, Workshops, StEPs</t>
  </si>
  <si>
    <t>Misc.</t>
  </si>
  <si>
    <t>Endowment/Transfers (e.g., PS&amp;L, Small Mus Schol)</t>
  </si>
  <si>
    <t>Human Resources</t>
  </si>
  <si>
    <t>Based on FY2015</t>
  </si>
  <si>
    <t>7.65% @$518,547</t>
  </si>
  <si>
    <t>402.000.4017</t>
  </si>
  <si>
    <t>FICA FOR CEO DEF.COMP.</t>
  </si>
  <si>
    <t>Benefit-Med/Den/STD/LTD</t>
  </si>
  <si>
    <t>Slight increase over FY2015 YTD actual</t>
  </si>
  <si>
    <t>Retirement/Deferred Comp</t>
  </si>
  <si>
    <t>Beatty, Cook, Jackson, Hawkins and McGhee</t>
  </si>
  <si>
    <t>402.010.4016</t>
  </si>
  <si>
    <t>CEO DEF COMP.</t>
  </si>
  <si>
    <t>Building &amp; Maintenance</t>
  </si>
  <si>
    <t>$4100/month</t>
  </si>
  <si>
    <t>405.010.4162</t>
  </si>
  <si>
    <t>TRASH REMOVAL</t>
  </si>
  <si>
    <t>$110/month (twice a month instead of weekly)</t>
  </si>
  <si>
    <t>Business Insurance</t>
  </si>
  <si>
    <t>We will bid this out to try to get a lower rate.</t>
  </si>
  <si>
    <t>Technology Infrastructure</t>
  </si>
  <si>
    <t>based on 9 month FY2015 average $440/month</t>
  </si>
  <si>
    <t>Equipment and software: Postage machine ($3432/year); Membership database ($24,660/year); Copier ($4950/year); Sage-Peachtree ($1500/year); Submittable ($2200/year)</t>
  </si>
  <si>
    <t>Utilities</t>
  </si>
  <si>
    <t>$541.67/month</t>
  </si>
  <si>
    <t>all supplies 405.010.4100</t>
  </si>
  <si>
    <t>all postage 405.010.4110</t>
  </si>
  <si>
    <t>$500 Corey Award; $5000 Kammen Award; plus expenses</t>
  </si>
  <si>
    <t>$4000/issue</t>
  </si>
  <si>
    <t>$3550/issue</t>
  </si>
  <si>
    <t>$333/issue</t>
  </si>
  <si>
    <t>$7150/issue</t>
  </si>
  <si>
    <t>BULK MAIL SERIVES</t>
  </si>
  <si>
    <t>AWARDS-EVELYN/RICHMOND</t>
  </si>
  <si>
    <t>409.051.4120</t>
  </si>
  <si>
    <t>409.020.4110</t>
  </si>
  <si>
    <t>included in annual meeting budget</t>
  </si>
  <si>
    <t>409.020.4120</t>
  </si>
  <si>
    <t>409.020.4150</t>
  </si>
  <si>
    <t>CEO/COO. 2014 SHAM meeting held in Nashville</t>
  </si>
  <si>
    <t>No Need for this category</t>
  </si>
  <si>
    <t>409.120.4150</t>
  </si>
  <si>
    <t>should come out of escrow</t>
  </si>
  <si>
    <t>409.140.4110</t>
  </si>
  <si>
    <t>409.140.4220</t>
  </si>
  <si>
    <t>409.140.4230</t>
  </si>
  <si>
    <t>409.140.4380</t>
  </si>
  <si>
    <t>409.140.4480</t>
  </si>
  <si>
    <t>CONFERENCE EXPENSES</t>
  </si>
  <si>
    <t>$1000 Museums Advocacy Day</t>
  </si>
  <si>
    <t>$200 for Community Foundation Grant</t>
  </si>
  <si>
    <t>CONTRACT SERVICES--Mozy</t>
  </si>
  <si>
    <t>Community Foundation Grant</t>
  </si>
  <si>
    <t>Staff travel plus onsite expenses</t>
  </si>
  <si>
    <t>Moved to 405.010</t>
  </si>
  <si>
    <t>AASLH contribution</t>
  </si>
  <si>
    <t xml:space="preserve">Onsite Expenses IHS </t>
  </si>
  <si>
    <t>pass through</t>
  </si>
  <si>
    <t>410.060.4380</t>
  </si>
  <si>
    <t>410.060.4410</t>
  </si>
  <si>
    <t>410.060.4580</t>
  </si>
  <si>
    <t>PRINTING-BROCHURE</t>
  </si>
  <si>
    <t>411.050.4220</t>
  </si>
  <si>
    <t>CONSULTANT</t>
  </si>
  <si>
    <t>SALARIES ANNUAL MTG</t>
  </si>
  <si>
    <t>Includes additional $4,000 for covering exhibit hall/sponsor work</t>
  </si>
  <si>
    <t>New Member and SHA</t>
  </si>
  <si>
    <t>Includes Internet, AV contract, and AV staff travel</t>
  </si>
  <si>
    <t>Includes bus transportation and Council Meeting ($500)</t>
  </si>
  <si>
    <t>Includes booths, signage, drapery, and after hours security on Wed and Thurs only</t>
  </si>
  <si>
    <t>Offering drinks and fresh fruit only on Thursday PM Break</t>
  </si>
  <si>
    <t>Negotiating with hotel for this rate</t>
  </si>
  <si>
    <t>BOOK DISCUSSIONS</t>
  </si>
  <si>
    <t>Based on $60 per person cost for awards dinner</t>
  </si>
  <si>
    <t>408.010.4800</t>
  </si>
  <si>
    <t>PARTNERSHIP SPLIT</t>
  </si>
  <si>
    <t>409.020.</t>
  </si>
  <si>
    <t>Change breakfast to continental + oatmeal, Eliminate morning break, just coffee refresh</t>
  </si>
  <si>
    <t>General Office</t>
  </si>
  <si>
    <t>Moved to General Operating</t>
  </si>
  <si>
    <t>8 @$1200</t>
  </si>
  <si>
    <t>Lowered to reflect estimates</t>
  </si>
  <si>
    <t>PROFESSIONAL DUES</t>
  </si>
  <si>
    <t>$1000 National Coalition for History; $600 NCPH; $150 Tennessee Association of Museums; $400 Center for Nonprofit Management</t>
  </si>
  <si>
    <t>Museums Advocacy Day</t>
  </si>
  <si>
    <t>Per agreement</t>
  </si>
  <si>
    <t>Payroll processing</t>
  </si>
  <si>
    <t>Based on current depreciation of assets along with newly acquired assets</t>
  </si>
  <si>
    <t>$195/month</t>
  </si>
  <si>
    <t>405.011.4280</t>
  </si>
  <si>
    <t>Fraud--Legal Fees</t>
  </si>
  <si>
    <t>Staff Development</t>
  </si>
  <si>
    <t>FY2015 amount was for CEO Search</t>
  </si>
  <si>
    <t>FY 2016 Actual</t>
  </si>
  <si>
    <t>FY 2015 Actual</t>
  </si>
  <si>
    <t>Closeout 3/31/17</t>
  </si>
  <si>
    <t>FY 2017 Forecast</t>
  </si>
  <si>
    <t>Fy2018 Budget</t>
  </si>
  <si>
    <t>411.050.3700</t>
  </si>
  <si>
    <t>411.060.3654</t>
  </si>
  <si>
    <t>411.060.3655</t>
  </si>
  <si>
    <t>411.060.3660</t>
  </si>
  <si>
    <t>411.060.3800</t>
  </si>
  <si>
    <t>411.060.3850</t>
  </si>
  <si>
    <t>408.010.3650</t>
  </si>
  <si>
    <t>408.010.3888</t>
  </si>
  <si>
    <t>408.010.3651</t>
  </si>
  <si>
    <t>408.010.3710</t>
  </si>
  <si>
    <t>408.010.3720</t>
  </si>
  <si>
    <t>408.010.3725</t>
  </si>
  <si>
    <t>408.010.3730</t>
  </si>
  <si>
    <t>408.010.3740</t>
  </si>
  <si>
    <t>408.010.3830</t>
  </si>
  <si>
    <t>408.010.3744</t>
  </si>
  <si>
    <t>408.010.3748</t>
  </si>
  <si>
    <t>408.010.3717</t>
  </si>
  <si>
    <t>408.010.3741</t>
  </si>
  <si>
    <t>400.000.3767</t>
  </si>
  <si>
    <t>409.091.3770</t>
  </si>
  <si>
    <t>409.010.3880</t>
  </si>
  <si>
    <t>409.010.3881</t>
  </si>
  <si>
    <t>408.010.3895</t>
  </si>
  <si>
    <t>409.010.4008</t>
  </si>
  <si>
    <t>410.060.3882</t>
  </si>
  <si>
    <t>410.060.3886</t>
  </si>
  <si>
    <t>410.060.3887</t>
  </si>
  <si>
    <t>410.030.4600</t>
  </si>
  <si>
    <t>410.070.4910</t>
  </si>
  <si>
    <t>409.160.3811</t>
  </si>
  <si>
    <t>409.040.3816</t>
  </si>
  <si>
    <t>405.010.4007</t>
  </si>
  <si>
    <t>Temp. Rest - 400.020.5060</t>
  </si>
  <si>
    <t>408.010.3731</t>
  </si>
  <si>
    <t>409.010.3875</t>
  </si>
  <si>
    <t>Hurricane Cultural Relief Fund</t>
  </si>
  <si>
    <t>410.060.3883</t>
  </si>
  <si>
    <t>402.050.3972</t>
  </si>
  <si>
    <t>402.000.6150</t>
  </si>
  <si>
    <t>402.000.6200</t>
  </si>
  <si>
    <t>402.000.6210</t>
  </si>
  <si>
    <t>402.000.6240</t>
  </si>
  <si>
    <t>402.000.6370</t>
  </si>
  <si>
    <t>402.050.6340</t>
  </si>
  <si>
    <t>405.010.6010</t>
  </si>
  <si>
    <t>405.010.6040</t>
  </si>
  <si>
    <t>405.010.6050</t>
  </si>
  <si>
    <t>405.010.6060</t>
  </si>
  <si>
    <t>405.010.6070</t>
  </si>
  <si>
    <t>405.010.6080</t>
  </si>
  <si>
    <t>405.010.6100</t>
  </si>
  <si>
    <t>405.010.6110</t>
  </si>
  <si>
    <t>405.010.6112</t>
  </si>
  <si>
    <t>405.010.6120</t>
  </si>
  <si>
    <t>405.010.6150</t>
  </si>
  <si>
    <t>405.010.6160</t>
  </si>
  <si>
    <t>405.010.6164</t>
  </si>
  <si>
    <t>405.010.6166</t>
  </si>
  <si>
    <t>405.010.6168</t>
  </si>
  <si>
    <t>405.010.6170</t>
  </si>
  <si>
    <t>405.010.6280</t>
  </si>
  <si>
    <t>405.010.6320</t>
  </si>
  <si>
    <t>405.010.6340</t>
  </si>
  <si>
    <t>405.010.6350</t>
  </si>
  <si>
    <t>405.010.6360</t>
  </si>
  <si>
    <t>405.010.6390</t>
  </si>
  <si>
    <t>405.010.6560</t>
  </si>
  <si>
    <t>405.010.6630</t>
  </si>
  <si>
    <t>405.010.6352</t>
  </si>
  <si>
    <t>407.010.6200</t>
  </si>
  <si>
    <t>407.010.6225</t>
  </si>
  <si>
    <t>407.010.6550</t>
  </si>
  <si>
    <t>407.010.6580</t>
  </si>
  <si>
    <t>408.010.6100</t>
  </si>
  <si>
    <t>408.010.6110</t>
  </si>
  <si>
    <t>408.010.6201</t>
  </si>
  <si>
    <t>408.010.6200</t>
  </si>
  <si>
    <t>408.010.6220</t>
  </si>
  <si>
    <t>408.010.6222</t>
  </si>
  <si>
    <t>408.010.6232</t>
  </si>
  <si>
    <t>408.010.6233</t>
  </si>
  <si>
    <t>408.010.6380</t>
  </si>
  <si>
    <t>408.010.6400</t>
  </si>
  <si>
    <t>408.010.6410</t>
  </si>
  <si>
    <t>408.010.6420</t>
  </si>
  <si>
    <t>408.010.6430</t>
  </si>
  <si>
    <t>408.010.6432</t>
  </si>
  <si>
    <t>408.010.6340</t>
  </si>
  <si>
    <t>408.010.6440</t>
  </si>
  <si>
    <t>408.010.6450</t>
  </si>
  <si>
    <t>408.010.6460</t>
  </si>
  <si>
    <t>408.010.6480</t>
  </si>
  <si>
    <t>408..010.6470</t>
  </si>
  <si>
    <t>408.010.6421</t>
  </si>
  <si>
    <t>408.010.6462</t>
  </si>
  <si>
    <t>408.010.6490</t>
  </si>
  <si>
    <t>408.010.6495</t>
  </si>
  <si>
    <t>408.010.6540</t>
  </si>
  <si>
    <t>408.010.6520</t>
  </si>
  <si>
    <t>408.010.6491</t>
  </si>
  <si>
    <t>408.010.6580</t>
  </si>
  <si>
    <t>408.010.6583</t>
  </si>
  <si>
    <t>408.010.6584</t>
  </si>
  <si>
    <t>408.010.6412</t>
  </si>
  <si>
    <t>409.010.6521</t>
  </si>
  <si>
    <t>409.010.6110</t>
  </si>
  <si>
    <t>409.010.6120</t>
  </si>
  <si>
    <t>409.010.6200</t>
  </si>
  <si>
    <t>409.010.6340</t>
  </si>
  <si>
    <t>409.010.6470</t>
  </si>
  <si>
    <t>409.010.6580</t>
  </si>
  <si>
    <t>409.010.6380</t>
  </si>
  <si>
    <t>409.050.6200</t>
  </si>
  <si>
    <t>409.050.6480</t>
  </si>
  <si>
    <t>409.091.6200</t>
  </si>
  <si>
    <t>409.091.6220</t>
  </si>
  <si>
    <t>409.091.6480</t>
  </si>
  <si>
    <t>409.091.6580</t>
  </si>
  <si>
    <t>409.120.6140</t>
  </si>
  <si>
    <t>409.091.6551</t>
  </si>
  <si>
    <t>409.120.6201</t>
  </si>
  <si>
    <t>409.120.6200</t>
  </si>
  <si>
    <t>409.140.6200</t>
  </si>
  <si>
    <t>409.160.6110</t>
  </si>
  <si>
    <t>409.160.6200</t>
  </si>
  <si>
    <t>409.160.6120</t>
  </si>
  <si>
    <t>409.310.6200</t>
  </si>
  <si>
    <t>410.030.6200</t>
  </si>
  <si>
    <t>410.030.6221</t>
  </si>
  <si>
    <t>410.030.6231</t>
  </si>
  <si>
    <t>410.030.6410</t>
  </si>
  <si>
    <t>410.030.6481</t>
  </si>
  <si>
    <t>409.040.6231</t>
  </si>
  <si>
    <t>409.040.6221</t>
  </si>
  <si>
    <t>409.040.6580</t>
  </si>
  <si>
    <t>409.350.7000</t>
  </si>
  <si>
    <t>409.040.6200</t>
  </si>
  <si>
    <t>410.060.6200</t>
  </si>
  <si>
    <t>410.060.6220</t>
  </si>
  <si>
    <t>410.060.6225</t>
  </si>
  <si>
    <t>410.060.6230</t>
  </si>
  <si>
    <t>410.060.6221</t>
  </si>
  <si>
    <t>410.060.6242</t>
  </si>
  <si>
    <t>410.060.6600</t>
  </si>
  <si>
    <t>410.060.6120</t>
  </si>
  <si>
    <t>410.060.6461</t>
  </si>
  <si>
    <t>410.070.6231</t>
  </si>
  <si>
    <t>410.070.6235</t>
  </si>
  <si>
    <t>410.070.6360</t>
  </si>
  <si>
    <t>411.040.6470</t>
  </si>
  <si>
    <t>411.040.6580</t>
  </si>
  <si>
    <t>411.040.6380</t>
  </si>
  <si>
    <t>411.050.6110</t>
  </si>
  <si>
    <t>411.050.6470</t>
  </si>
  <si>
    <t>411.050.6550</t>
  </si>
  <si>
    <t>411.060.6100</t>
  </si>
  <si>
    <t>411.060.6110</t>
  </si>
  <si>
    <t>411.060.6120</t>
  </si>
  <si>
    <t>411.060.6200</t>
  </si>
  <si>
    <t>411.060.6360</t>
  </si>
  <si>
    <t>411.060.6380</t>
  </si>
  <si>
    <t>411.060.6461</t>
  </si>
  <si>
    <t>411.060.6580</t>
  </si>
  <si>
    <t>411.060.6586</t>
  </si>
  <si>
    <t>411.060.7005</t>
  </si>
  <si>
    <t>411.070.6110</t>
  </si>
  <si>
    <t>411.070.6340</t>
  </si>
  <si>
    <t>411.070.6380</t>
  </si>
  <si>
    <t>411.070.6470</t>
  </si>
  <si>
    <t>411.070.6580</t>
  </si>
  <si>
    <t>411.070.6585</t>
  </si>
  <si>
    <t>411.020.6360</t>
  </si>
  <si>
    <t>AM Hotel Rebate</t>
  </si>
  <si>
    <t>410.060.3885</t>
  </si>
  <si>
    <t>410.030.3883</t>
  </si>
  <si>
    <t>408.010.3870</t>
  </si>
  <si>
    <t>408.010.3892</t>
  </si>
  <si>
    <t>In-Kind Sponsorships</t>
  </si>
  <si>
    <t>410.030.4240</t>
  </si>
  <si>
    <t>411.070.4410</t>
  </si>
  <si>
    <t>IMLS Grant - Cont Ed</t>
  </si>
  <si>
    <t>409.180.6221</t>
  </si>
  <si>
    <t>409.180.6340</t>
  </si>
  <si>
    <t>410.060.6100</t>
  </si>
  <si>
    <t>411.050.6360</t>
  </si>
  <si>
    <t>411.050.6380</t>
  </si>
  <si>
    <t>411.060.6352</t>
  </si>
  <si>
    <t>Master Local Historians Program</t>
  </si>
  <si>
    <t>409.180.3816</t>
  </si>
  <si>
    <t>IMLS Continuing Education Grant</t>
  </si>
  <si>
    <t>409.010.6115</t>
  </si>
  <si>
    <t>HARVEY DISTRIBUTION</t>
  </si>
  <si>
    <t>411.060.6340</t>
  </si>
  <si>
    <t>Am Diversity Scholarship</t>
  </si>
  <si>
    <t>AUTHOR PAYMENTS</t>
  </si>
  <si>
    <t>Workshops/Labs</t>
  </si>
  <si>
    <t>409.160.6480</t>
  </si>
  <si>
    <t>409.160.6380</t>
  </si>
  <si>
    <t>African American Museum StEPs Project</t>
  </si>
  <si>
    <t>Faculty Stipends</t>
  </si>
  <si>
    <t>Scholarships</t>
  </si>
  <si>
    <t>ENDOWMENT CONTRIBUTION</t>
  </si>
  <si>
    <t>Conference App</t>
  </si>
  <si>
    <t>409.310.6340</t>
  </si>
  <si>
    <t>HISTORY LEADERSHIP INSTITUTE</t>
  </si>
  <si>
    <t>HLI Partner Contributions</t>
  </si>
  <si>
    <t>HLI Donations</t>
  </si>
  <si>
    <t>HLI Accrual Transfer</t>
  </si>
  <si>
    <t>HLI tuition</t>
  </si>
  <si>
    <t>HLI lodging</t>
  </si>
  <si>
    <t>History Leadership Institute</t>
  </si>
  <si>
    <t>DIRECTOR TRAVEL</t>
  </si>
  <si>
    <t>HLI DIRECTOR STIPEND</t>
  </si>
  <si>
    <t>HLI Scholarship</t>
  </si>
  <si>
    <t>SALES TAX</t>
  </si>
  <si>
    <t>410.060.7005</t>
  </si>
  <si>
    <t>MEETING REPRESENTATION</t>
  </si>
  <si>
    <t>409.310.3883</t>
  </si>
  <si>
    <t>FSA Donations</t>
  </si>
  <si>
    <t>410.060.6380</t>
  </si>
  <si>
    <t>411.070.6587</t>
  </si>
  <si>
    <t>402.000.6340</t>
  </si>
  <si>
    <t>402.000.6352</t>
  </si>
  <si>
    <t>405.010.6700</t>
  </si>
  <si>
    <t>405.010.6200</t>
  </si>
  <si>
    <t>405.010.6240</t>
  </si>
  <si>
    <t>410.060.6231</t>
  </si>
  <si>
    <t>250TH ANNIVERSARY</t>
  </si>
  <si>
    <t>Printing</t>
  </si>
  <si>
    <t>Total Accrual Expenditures</t>
  </si>
  <si>
    <t>409.091.6380</t>
  </si>
  <si>
    <t>FY2021 Comments</t>
  </si>
  <si>
    <t>Notes on FY2020 Forecast - Worst Case Scenario</t>
  </si>
  <si>
    <t>FY 2020 Forecast (total as of 06/30/20) - Worst Case Scenario</t>
  </si>
  <si>
    <t>Mellon Grant</t>
  </si>
  <si>
    <t>408.010.6352</t>
  </si>
  <si>
    <t>413.010.6340</t>
  </si>
  <si>
    <t>Frameworks Institute</t>
  </si>
  <si>
    <t>All income/expenses for FY2020 already incurred.</t>
  </si>
  <si>
    <t>All income/ expenses for FY2020 already incurred.</t>
  </si>
  <si>
    <t>Reimbursement Requested from IMLS</t>
  </si>
  <si>
    <t>50% decrease in dues April-June</t>
  </si>
  <si>
    <t>Draw taken in January 2020</t>
  </si>
  <si>
    <t>Fixed Expense</t>
  </si>
  <si>
    <t>Includes Patron Membership ($600) to NCPH</t>
  </si>
  <si>
    <t>Includes shared maintenance fee</t>
  </si>
  <si>
    <t>Keeping purchases to no more than $75 per month</t>
  </si>
  <si>
    <t>Oasis/Century II ($3,620 per month); KraftCPA ($3,350 per month plus 5500 filings and audit prep); NSG ($1,672 per month)</t>
  </si>
  <si>
    <t>Credit Card transactions drop by 10%</t>
  </si>
  <si>
    <t>YM ($12,000/year); Submittable ($3,910/year); Mozy($250/year); Basecamp ($800/year); Association Voting ($300/year); Survey Monkey ($1500/year)</t>
  </si>
  <si>
    <t>If we don't use Association Voting for Council Election</t>
  </si>
  <si>
    <t>Includes March expenses</t>
  </si>
  <si>
    <t>Ashley Minner ($2000); Fawn Douglas ($1500); Ariana Curtis ($4,000); Could be one more for Frank Wain if he is confirmed.</t>
  </si>
  <si>
    <t>Cleaning and Security Fees</t>
  </si>
  <si>
    <t>Seed-Paper name badges and lanyards for 900. May be additional printing cost as they will print the namebadges. No totebag this year. Springs Preserve donating water bottles instead.</t>
  </si>
  <si>
    <t>This number will probably come down if we meet our hotel room block which entitles us to some comp rooms. We won't know until after the conference.</t>
  </si>
  <si>
    <t>Nevada Museums Association Lunch</t>
  </si>
  <si>
    <t>$1,500 for photographer; $500 podium flowers</t>
  </si>
  <si>
    <t>No speaker books for 2020</t>
  </si>
  <si>
    <t>Breaks in Exhibit Hall with drinks only on Sat AM</t>
  </si>
  <si>
    <t>Based on number of workshops approved.</t>
  </si>
  <si>
    <t>New Members/First Timers; D&amp;I Mixer; HLI Reception; Donor/Volunteer Thank You Reception</t>
  </si>
  <si>
    <r>
      <rPr>
        <i/>
        <sz val="10"/>
        <color rgb="FF000000"/>
        <rFont val="Calibri"/>
        <family val="2"/>
        <scheme val="minor"/>
      </rPr>
      <t>Est.</t>
    </r>
    <r>
      <rPr>
        <sz val="10"/>
        <color rgb="FF000000"/>
        <rFont val="Calibri"/>
        <family val="2"/>
        <scheme val="minor"/>
      </rPr>
      <t xml:space="preserve"> Kraft is waiting on CC statements</t>
    </r>
  </si>
  <si>
    <t>NEED NUMBERS FROM HOST CMTE</t>
  </si>
  <si>
    <r>
      <t xml:space="preserve">Awards Reception ($12,273); Wed Event (  ); Thurs Event (  ) </t>
    </r>
    <r>
      <rPr>
        <sz val="10"/>
        <color rgb="FFFF0000"/>
        <rFont val="Calibri"/>
        <family val="2"/>
        <scheme val="minor"/>
      </rPr>
      <t>NEED NUMBERS FROM HOST CMTE</t>
    </r>
    <r>
      <rPr>
        <sz val="10"/>
        <color rgb="FF000000"/>
        <rFont val="Calibri"/>
        <family val="2"/>
        <scheme val="minor"/>
      </rPr>
      <t xml:space="preserve"> - This is an educated guess.</t>
    </r>
  </si>
  <si>
    <t>Water Bottles</t>
  </si>
  <si>
    <t>158 X $45; 50 X $75</t>
  </si>
  <si>
    <t>Vegas meal prices higher than expected</t>
  </si>
  <si>
    <t>Awards Reception (180 X $50); Wed Event (250 X $45); Thurs Event (350 X $55)</t>
  </si>
  <si>
    <t>NEED INFO FROM HOST CMTE FOR FINAL NUMBER</t>
  </si>
  <si>
    <t>Payment for Nevada Association of Museums Luncheon</t>
  </si>
  <si>
    <t>$35,000 host committee; $20,000 AASLH</t>
  </si>
  <si>
    <t xml:space="preserve">800 Registrants at $269 each </t>
  </si>
  <si>
    <t>50 exhibitors</t>
  </si>
  <si>
    <t>Eliminated for 2020 meeting. Pre and Post Meeting webinar series will go under online workshops line item</t>
  </si>
  <si>
    <t>Anticipating fewer donors in FY2021</t>
  </si>
  <si>
    <t>Grant ended in 2020</t>
  </si>
  <si>
    <t>4 15# boxes to 4 reviewers= &lt;$20 each</t>
  </si>
  <si>
    <t>No longer outsourcing transcriptions. Easier and faster for AB to do it.</t>
  </si>
  <si>
    <t>not outsourcing any more transcriptions this year</t>
  </si>
  <si>
    <t>GF already gives us a discounted rate so I don't think we can reduce this cost.</t>
  </si>
  <si>
    <t>4 issues printed x 5,200 copies @ roughly $1.25 ea. (enough for membership, minimal extras)</t>
  </si>
  <si>
    <t>4 issues x 5,200 copies (roughly $580 per issue)</t>
  </si>
  <si>
    <t>Possible cancellations of est. five museums @1,875; however we would still attempt to collect the money because we completed survey instrument design.</t>
  </si>
  <si>
    <t xml:space="preserve">Three 2019-20 teacher surveys @1,875 ea. that will probably be delayed in finishing until summer 2021 due to the pandemic. Also ten museums @1,875 that will likely be delayed in finishing until April 2021 </t>
  </si>
  <si>
    <t>No additional enrollments this fiscal year</t>
  </si>
  <si>
    <t>Any meetings in FY21 will be done online</t>
  </si>
  <si>
    <t xml:space="preserve">Payment to debb Wilcox for 3 teacher surveys @$1,193; 10 visitor surveys @$1,193; Naper Settlement projects $5,536 </t>
  </si>
  <si>
    <t>Microlearning Certification atd course;</t>
  </si>
  <si>
    <t>MNHS does not complete partner payment</t>
  </si>
  <si>
    <t>Cancelled Exhibit Makeovers (Apr), Project Management (Apr), Collections Camp: Textiles (Apr), Reimagining Historic House Museums (May), Creating Programs for Teachers and Students (Jun), Focusing on Visitors (Jun) due to COVID-19; Rescheduling Project Management (Apr) for FY2021; Income from Collections Camp: Military Collections (Jul 2019) and Project Management (Oct 2019) - PM had low registration, mostly AASLH Staff in attendance.</t>
  </si>
  <si>
    <t>WEBINARS: Includes addition of 26 AASLH Conversations (~$450 each); 2 Annual Meeting Preview Sessions (~450 each); no new PD webinars for remaining FY. Forcasting no additional paying registrations to open PD webinars (Chaos, Mission, Traveling Trunks). ONLINE COURSES: Forcasting summer registration at 40%</t>
  </si>
  <si>
    <t xml:space="preserve"> $-   </t>
  </si>
  <si>
    <t>Spring and Summer workshops cancelled due to COVID-19</t>
  </si>
  <si>
    <t>$500 to Museum Study; Fewer students in online courses</t>
  </si>
  <si>
    <t>Decrease if advertisers lose business, forced to cut back</t>
  </si>
  <si>
    <t>March included, 75% decrease in job postings</t>
  </si>
  <si>
    <t>50% decrease april to June due to lack of income/more free options</t>
  </si>
  <si>
    <t>Unlikely to receive more</t>
  </si>
  <si>
    <t>10% less than FY2020 budget</t>
  </si>
  <si>
    <t>Difficult to predict most of the royalties last year came in June</t>
  </si>
  <si>
    <t>Reflecting a potential decrease in overall buying power in the country</t>
  </si>
  <si>
    <t>Final payment of FY 2020 in April. Covers mostly time before COVID effects</t>
  </si>
  <si>
    <t>20% decrease from realistic 2020 projection</t>
  </si>
  <si>
    <t>Payment received in April</t>
  </si>
  <si>
    <t>No second payment this FY</t>
  </si>
  <si>
    <t>Tuition fees shifted to FY2021</t>
  </si>
  <si>
    <t>Donations reflected in restricted funds.</t>
  </si>
  <si>
    <t>$10,000 from NEH Chairmans Grant. $5,000 webinar/workshop sponsorships</t>
  </si>
  <si>
    <t>FY2020: $15,203 towards AASLH Salaries.</t>
  </si>
  <si>
    <t>FY2021: $17,802 towards AASLH Salaries</t>
  </si>
  <si>
    <t>413.010.3830</t>
  </si>
  <si>
    <t>NEH 250th Grant Funds</t>
  </si>
  <si>
    <t>$5,005 towards AASLH Salaries. Remainder to offset Frameworks Institute Expenses</t>
  </si>
  <si>
    <t>$5,205 towards AASLH Salaries; Remainder to offset Frameworks Insitute Expenses.</t>
  </si>
  <si>
    <t>One additional staff trip before end of fiscal year</t>
  </si>
  <si>
    <t>Includes catering for Feb and in-person meeting in June</t>
  </si>
  <si>
    <t>September Meeting ($663); $4,000 for Feb and June meetings along with Council Travel Fund</t>
  </si>
  <si>
    <t>Website Maintenance</t>
  </si>
  <si>
    <t>Sr Mgr Marketing/Memb not hired Includes no bonuses</t>
  </si>
  <si>
    <t>Includes purchasing one computer due to age</t>
  </si>
  <si>
    <t>Not yet released into operating budget</t>
  </si>
  <si>
    <t>Coverage rebid with UNUM for lower rate</t>
  </si>
  <si>
    <t>Liability and D&amp;O</t>
  </si>
  <si>
    <t>Lawyer fees for Booth Boss and Woodward follow up</t>
  </si>
  <si>
    <t>Includes preparation and filing of 990</t>
  </si>
  <si>
    <t>Number provided by Kraft. Several items will be fully depreciated at the start of FY2021.</t>
  </si>
  <si>
    <t>Two fundraising mailings</t>
  </si>
  <si>
    <t>Expenses covered IHS; Includes $5000 for special workshop fees</t>
  </si>
  <si>
    <t>Budgeting for two large MDF mailings</t>
  </si>
  <si>
    <t>Mailchimp is currently charging us $439 per month but we are exploring whether or not we can change our subscription to a lower level or break it completely</t>
  </si>
  <si>
    <t>413.010.6200</t>
  </si>
  <si>
    <t>Conferences (NCPH, OAH, ACLS, AAM, Advisory Meeting in DC)</t>
  </si>
  <si>
    <t>413.010.6221</t>
  </si>
  <si>
    <t>Speaker Travel</t>
  </si>
  <si>
    <t>Conferences (NCPH, OAH, ACLS, AAM, Advisory Meeting in DC) X 2 people; Travel for FW rep at AASLH panel; Travel for Advisory Meeting (16 ppl X $1000 ea)</t>
  </si>
  <si>
    <t>410.010.6231</t>
  </si>
  <si>
    <t>Faculty Honoraria</t>
  </si>
  <si>
    <t>$500 X 12 for advisory panel; $250 X 4 for two webinars</t>
  </si>
  <si>
    <t>413.010.6225</t>
  </si>
  <si>
    <t>Lunch for 20 at DC Advisory Meeting</t>
  </si>
  <si>
    <t>250th Anniversary</t>
  </si>
  <si>
    <t>412.010.6200</t>
  </si>
  <si>
    <t>Annual Report, Action Guide, Census Report</t>
  </si>
  <si>
    <t>2021 250th Action Guide</t>
  </si>
  <si>
    <t>412.010.6380</t>
  </si>
  <si>
    <t>412.010.6580</t>
  </si>
  <si>
    <t>412.010.6231</t>
  </si>
  <si>
    <t>412.010.6340</t>
  </si>
  <si>
    <t>Contract Services</t>
  </si>
  <si>
    <t>Census Research Contract</t>
  </si>
  <si>
    <t>412.010.6221</t>
  </si>
  <si>
    <t>Coordinating Committee, themes meeting #2, AAAM</t>
  </si>
  <si>
    <t>Catering for coordinating Committee meeting, themes meeting #2, and Venue fees</t>
  </si>
  <si>
    <t>410.010.6225</t>
  </si>
  <si>
    <t>412.010.6110</t>
  </si>
  <si>
    <t>Postage</t>
  </si>
  <si>
    <t>412.010.3888</t>
  </si>
  <si>
    <t>412.010.3816</t>
  </si>
  <si>
    <t>75</t>
  </si>
  <si>
    <t>Included in tuition</t>
  </si>
  <si>
    <t>Not yet released into operating budget - $6,435 in fund</t>
  </si>
  <si>
    <t>Negotiated slightly cheaper plan for FY2021</t>
  </si>
  <si>
    <t>Fewer employees eligible for employer match.</t>
  </si>
  <si>
    <t>14 @ $3,500; 2@ $3,000; 2 @ $3,750 for onsite. 20 @ $799 each for online</t>
  </si>
  <si>
    <t>Webinars and Online Courses</t>
  </si>
  <si>
    <t>Workshop/Webinar Sponsorships</t>
  </si>
  <si>
    <t>Release of FY 2020 Assets</t>
  </si>
  <si>
    <t>18 facilitators @$250 each plus 6 instructors @$250 each for online courses. $3,000 for Frameworks Virtual Workshop.</t>
  </si>
  <si>
    <t>winter and spring 2020 digital only</t>
  </si>
  <si>
    <t>winter and spring digital only</t>
  </si>
  <si>
    <t>This will total $1,350 unless we swap in repurposed/volunteer content, which we do not pay for</t>
  </si>
  <si>
    <t>4 issues of totally original content would cost $3,600 in payments. Assuming roughly 25% of content is produced as part of AASLH service (council members, award reps) or repurposed content (AM), I estimate $2,850 in author payments.</t>
  </si>
  <si>
    <t>Winter20 and Spring20 digital only</t>
  </si>
  <si>
    <t>4 issues @ $4,750 each plus $1,000 for year in case of rate increase/bills split over FY</t>
  </si>
  <si>
    <t>4 issues x 5,200 copies (roughly $2,400 per issue) Sum20, Aut20, W21, and Spr21</t>
  </si>
  <si>
    <t>2 staff for Museums Advocacy Day and Feb/June Council Meetings</t>
  </si>
  <si>
    <t xml:space="preserve">Two staff to attend AAAM and ATALM, stand-alone meeting of 250th </t>
  </si>
  <si>
    <t>TN Association of Museums</t>
  </si>
  <si>
    <t>TAM conference sponsorships and booth purchases</t>
  </si>
  <si>
    <r>
      <rPr>
        <strike/>
        <sz val="10"/>
        <color rgb="FFFF0000"/>
        <rFont val="Calibri"/>
        <family val="2"/>
        <scheme val="minor"/>
      </rPr>
      <t>Mass History; 2</t>
    </r>
    <r>
      <rPr>
        <sz val="10"/>
        <color rgb="FF000000"/>
        <rFont val="Calibri"/>
        <family val="2"/>
        <scheme val="minor"/>
      </rPr>
      <t xml:space="preserve"> 1 state conferences and SMA to promote new workbook</t>
    </r>
  </si>
  <si>
    <t>VER ($38,361); Internet ($6000); Electrical ($1397)</t>
  </si>
  <si>
    <t>FY 2021 Budget (Full Annual Meeting)</t>
  </si>
  <si>
    <t>FY 2021 Budget (50% Annual Meeting)</t>
  </si>
  <si>
    <t>Just over 10% less than FY2020 realistic forecast</t>
  </si>
  <si>
    <t>35 exhibitors</t>
  </si>
  <si>
    <t>15% decrease in sponsorship. Most sponsor commitments are already in. $29,750 host committee; $19,000 AASLH</t>
  </si>
  <si>
    <t>15% decrease in ads. Most preliminary ad commitments are already in. Fewer attendees and not printing prelim guide</t>
  </si>
  <si>
    <t>Fewer attendees and not printing prelim guide</t>
  </si>
  <si>
    <t>400 Registrants at $269 each</t>
  </si>
  <si>
    <t>20% decrease</t>
  </si>
  <si>
    <t>Awards Reception (90 X $50); Wed Event (125 X $45); Thurs Event (175 X $55)</t>
  </si>
  <si>
    <t>Payment for Nevada Association of Museum Luncheon</t>
  </si>
  <si>
    <t>Temporarily placing workshop series on hold for FY2021 except for rescheduled Project Management Workshop (Oct 2020), Collections Camp: Textiles (20  X $295) and Rethinking HHM (45 X $95) in Spring</t>
  </si>
  <si>
    <t>$20,000 from NEH Chairman's Grant. $6,000 webinar/workshop sponsorships including sponsored webinars</t>
  </si>
  <si>
    <t>5% draw; $74,070 is 4.25%</t>
  </si>
  <si>
    <t>John D Only for Museums Advocacy Day and Feb/June Council Mtgs</t>
  </si>
  <si>
    <t>September Meeting ($663): $4,000 for Feb and June Mtgs along with Council Travel Fund</t>
  </si>
  <si>
    <t>No PD for staff in FY2021</t>
  </si>
  <si>
    <t xml:space="preserve">No raises. No Sr. Mg Marketing/Memb  or PD Coordinator </t>
  </si>
  <si>
    <t>No computer purchases</t>
  </si>
  <si>
    <t>Postage Meter, Copier, Folding Machine</t>
  </si>
  <si>
    <t>YM ($12,000/yr); Submittable ($3,910/yr); Basecamp ($800/yr); Survey Monkey ($1,500/yr)</t>
  </si>
  <si>
    <t>Mailing Publications to Reviewers</t>
  </si>
  <si>
    <t>Eliminate staff hotel room</t>
  </si>
  <si>
    <t>F&amp;B for May Meeting</t>
  </si>
  <si>
    <t>No A of D nominations in 2020</t>
  </si>
  <si>
    <t>Mainly flip charts and envelopes. Not a significant change in price based on attendees.</t>
  </si>
  <si>
    <t>Preliminary Guide online only</t>
  </si>
  <si>
    <r>
      <t xml:space="preserve">This number will probably come down if we meet our hotel room block which entitles us to some comp rooms. We won't know until after the conference. </t>
    </r>
    <r>
      <rPr>
        <b/>
        <sz val="10"/>
        <color theme="1"/>
        <rFont val="Calibri"/>
        <family val="2"/>
        <scheme val="minor"/>
      </rPr>
      <t>If we are down in attendance by 50% we will not meet our room block and will probably have to negotiate attrition instead of getting comp rooms. Figures does include leaving two staff members in Nashville during conference.</t>
    </r>
  </si>
  <si>
    <t>Travel stipends</t>
  </si>
  <si>
    <t>Per contract</t>
  </si>
  <si>
    <t>Did not decrease significantly as we still have to meet a $70,000 F&amp;B minimum</t>
  </si>
  <si>
    <t>Eliminates extra charges that might arise like extra electrical or last minute reg supplies.</t>
  </si>
  <si>
    <t>VER ($38,361); Internet ($4449); Electrical ($1,397)</t>
  </si>
  <si>
    <r>
      <rPr>
        <i/>
        <sz val="10"/>
        <rFont val="Calibri"/>
        <family val="2"/>
        <scheme val="minor"/>
      </rPr>
      <t xml:space="preserve">Did not decrease significantly as we still have to meet a $70,000 F&amp;B minimum. </t>
    </r>
    <r>
      <rPr>
        <sz val="10"/>
        <rFont val="Calibri"/>
        <family val="2"/>
        <scheme val="minor"/>
      </rPr>
      <t>Based on number of workshops approved.</t>
    </r>
  </si>
  <si>
    <r>
      <rPr>
        <i/>
        <sz val="10"/>
        <color theme="1"/>
        <rFont val="Calibri"/>
        <family val="2"/>
        <scheme val="minor"/>
      </rPr>
      <t>See above.</t>
    </r>
    <r>
      <rPr>
        <sz val="10"/>
        <color theme="1"/>
        <rFont val="Calibri"/>
        <family val="2"/>
        <scheme val="minor"/>
      </rPr>
      <t xml:space="preserve"> New Members/First Timers; D&amp;I Mixer: HLI Reception; Donor/Volunteer Thank You Reception</t>
    </r>
  </si>
  <si>
    <t>Exhibit Hall ($3,230) and Signage ($325). We cut meter board signage for Vegas as they have video screens we can use for the daily schedule. Map Dynamics for online platform ($1,425)</t>
  </si>
  <si>
    <r>
      <rPr>
        <i/>
        <sz val="10"/>
        <color theme="1"/>
        <rFont val="Calibri"/>
        <family val="2"/>
        <scheme val="minor"/>
      </rPr>
      <t>Did not decrease significantly as we still have to meet a $70,000 F&amp;B minimum.</t>
    </r>
    <r>
      <rPr>
        <sz val="10"/>
        <color theme="1"/>
        <rFont val="Calibri"/>
        <family val="2"/>
        <scheme val="minor"/>
      </rPr>
      <t>Breaks in Exhibit Hall with drinks only on Sat AM</t>
    </r>
  </si>
  <si>
    <t>Seed-Paper name badges and lanyards for 400. May be additional printing cost as they will print the namebadges. Price per item will increase with smaller order. No totebag this year. Springs Preserve donating water bottles instead.</t>
  </si>
  <si>
    <r>
      <t xml:space="preserve">Awards Reception ($12,273); Wed Event (  ); Thurs Event (  ) </t>
    </r>
    <r>
      <rPr>
        <sz val="10"/>
        <color rgb="FFFF0000"/>
        <rFont val="Calibri"/>
        <family val="2"/>
        <scheme val="minor"/>
      </rPr>
      <t>NEED NUMBERS FROM HOST CMTE</t>
    </r>
    <r>
      <rPr>
        <sz val="10"/>
        <color rgb="FF000000"/>
        <rFont val="Calibri"/>
        <family val="2"/>
        <scheme val="minor"/>
      </rPr>
      <t xml:space="preserve"> - This is an educated guess based on number of attendees.</t>
    </r>
  </si>
  <si>
    <t>Preliminary Guide ONLINE ONLY; Onsite Guide, Onsite Supplement, Awards Program</t>
  </si>
  <si>
    <t>Preliminary Guide, Onsite Guide, Onsite Supplement, Awards Program</t>
  </si>
  <si>
    <t>No live online conference</t>
  </si>
  <si>
    <t>Eliminated due to small number of attendees</t>
  </si>
  <si>
    <t>Already contracted</t>
  </si>
  <si>
    <t>Nevada Museums Assoc Lunch</t>
  </si>
  <si>
    <t>Give Gerri a cap and less signage to design</t>
  </si>
  <si>
    <t>1 state conference and SMA to promote new workbook</t>
  </si>
  <si>
    <t>No staff attending Spring Training</t>
  </si>
  <si>
    <t>Grant ended in early 2020</t>
  </si>
  <si>
    <t>Rescheduled project mgmt from Apr 2020; Collections Camp: Textiles and Rethinking HHM held in late Spring 2021.</t>
  </si>
  <si>
    <t>Travel to 2 workshops. RHHM held in Nashville</t>
  </si>
  <si>
    <t>Intern or temp staff for course migration 80 HOURS @ $15/HR - COVERED IN SALARIES</t>
  </si>
  <si>
    <t>Member Kits</t>
  </si>
  <si>
    <t xml:space="preserve">Potential use of Google Pay per click for 4 months in this number. </t>
  </si>
  <si>
    <t xml:space="preserve">Contract Services </t>
  </si>
  <si>
    <t>FY2021 Budget (Tiny Annual Meeting)</t>
  </si>
  <si>
    <t>20 exhibitors</t>
  </si>
  <si>
    <t>200 Registrants at $314 ea (includes one lunch)</t>
  </si>
  <si>
    <t>Number of tours offered will decrease</t>
  </si>
  <si>
    <t>Offer only one evening event on Thursday night and incorporate awards presentation for winners who attend.</t>
  </si>
  <si>
    <t>Per Contract</t>
  </si>
  <si>
    <t>Reduced to one group luncheon (dependent on agreement with hotel to drastically lower F&amp;B minimum)</t>
  </si>
  <si>
    <t>Have one large nice reception to open or close exhibit hall and encourage groups to have designated meeting place to network. No Thank You Reception.</t>
  </si>
  <si>
    <t>Dependent on agreement with hotel to drastically lower F&amp;B minimum</t>
  </si>
  <si>
    <t>Number of tours offered reduced to no more that 3.</t>
  </si>
  <si>
    <t xml:space="preserve">Basic nametag/lanyard (not green). No totebag this year. Springs Preserve donating water bottles instead. </t>
  </si>
  <si>
    <t>Print only onsite supplement. Use app for onsite guide with a few plain printed copies by request. No Awards Program.</t>
  </si>
  <si>
    <t>Give Gerri a cap, no onsite guide, and less signage to design</t>
  </si>
  <si>
    <t>Instead of separate affinity breakfasts and luncheons, we would do one attendee lunch that would be included in the reg fee and  could include the keynote or meeting of membership.</t>
  </si>
  <si>
    <t>Most preliminary ad commitments are already in. Fewer attendees and not printing prelim guide or onsite</t>
  </si>
  <si>
    <t>All but 2 Pre and Post Workshops and Labs would be cancelled.</t>
  </si>
  <si>
    <t>3 issues x 5,200 copies (roughly $2,400 per issue) 1 issue online. Sum20, Aut20, W21, and Spr21</t>
  </si>
  <si>
    <t>4 issues x 5,200 copies (roughly $580 per issue) - 1 online only</t>
  </si>
  <si>
    <t>3 issues printed x 5,200 copies @ roughly $1.25 ea. (enough for membership, minimal extras)</t>
  </si>
  <si>
    <t>Eliminate Google Pay per click</t>
  </si>
  <si>
    <t>Hold meeting virtually</t>
  </si>
  <si>
    <t>Oasis/Century II ($3,620 per month); KraftCPA ($3,350 per month plus 5500 filings and audit prep); NSG Contract ($1,672 per month)</t>
  </si>
  <si>
    <t>Several Ind and Orgs join or renew with their AM reg.</t>
  </si>
  <si>
    <t>AASLH no longer covering as of 7/1/20</t>
  </si>
  <si>
    <t>No staff travel</t>
  </si>
  <si>
    <t>September Council Meeting in person. Feb and June held online</t>
  </si>
  <si>
    <t xml:space="preserve">Travel to Museums Advocacy Day </t>
  </si>
  <si>
    <t>Smaller AM = fewer CC charges</t>
  </si>
  <si>
    <t xml:space="preserve">Mainly flip charts and envelopes. </t>
  </si>
  <si>
    <t>Exhibit Hall ($2,500) and  Map Dynamics for online platform ($1,425)</t>
  </si>
  <si>
    <t>Most sponsor commitments are already in but smaller attendance may result in requests for refunds. $25,000 host committee; $15,000 AASLH</t>
  </si>
  <si>
    <t>Mailing Publications to Reviewers and certificates to winners</t>
  </si>
  <si>
    <t>Ariana Curtis Keynote Only</t>
  </si>
  <si>
    <t>No F&amp;B for workshops</t>
  </si>
  <si>
    <t>Thurs Evening (150 X $35)</t>
  </si>
  <si>
    <t>VER ($22,000); Internet ($3449); Electrical ($1,397). Decrease in VER assumes decrease in number of sessions by cutting Saturday sessions.</t>
  </si>
  <si>
    <r>
      <t xml:space="preserve">If we are down in attendance by this margin we will not meet our room block and will probably have to negotiate attrition instead of getting comp rooms. Figures does include leaving </t>
    </r>
    <r>
      <rPr>
        <b/>
        <sz val="10"/>
        <color theme="1"/>
        <rFont val="Calibri"/>
        <family val="2"/>
        <scheme val="minor"/>
      </rPr>
      <t>three</t>
    </r>
    <r>
      <rPr>
        <sz val="10"/>
        <color theme="1"/>
        <rFont val="Calibri"/>
        <family val="2"/>
        <scheme val="minor"/>
      </rPr>
      <t xml:space="preserve"> staff members in Nashville during conference and cancelling Sat sessions.</t>
    </r>
  </si>
  <si>
    <r>
      <rPr>
        <sz val="10"/>
        <color rgb="FF000000"/>
        <rFont val="Calibri"/>
        <family val="2"/>
        <scheme val="minor"/>
      </rPr>
      <t>StEPs African Amer Museums Project</t>
    </r>
    <r>
      <rPr>
        <i/>
        <sz val="10"/>
        <color rgb="FF000000"/>
        <rFont val="Calibri"/>
        <family val="2"/>
        <scheme val="minor"/>
      </rPr>
      <t xml:space="preserve"> </t>
    </r>
  </si>
  <si>
    <t>Dependent on renegotiating F&amp;B and attrition with hotel. Will know by mid-May.</t>
  </si>
  <si>
    <t>Includes Charlie Bryan donation of $3,000</t>
  </si>
  <si>
    <t>No additional annual fund contributions after 4/1/2020. Plus Charlie Bryan donation of $16,000</t>
  </si>
  <si>
    <t>Decrease in partner level giving due to economy</t>
  </si>
  <si>
    <t>Not yet released into operating budget - $22,122 in fund including $7,000 from Charlie Bryan</t>
  </si>
  <si>
    <t>NCH ($2,000), AAM Advocacy Day ($2,690), National Humanities Alliance ($1,000), CNM ($500), ASAE ($325), NCPH ($600)</t>
  </si>
  <si>
    <t>Transfer to Endowment</t>
  </si>
  <si>
    <t>Elevate ($14,400); Zoom ($830); Close Captioning ($5,879); Museum Study ($2,940)</t>
  </si>
  <si>
    <t>14 @ $3,500; 2@ $3,000; 2 @ $3,750 for onsite. Two online sessions = 25 @$595 member rate each for online sessoin</t>
  </si>
  <si>
    <t>$5,000 Sponsorship for Oct 2019 RHHM; $300 Sponsorship for Timelooper Exhibitor Webinar; $500 Sponsorship for National Trust Insurance Services Exhibitor Weinbar; $10,000 of Chairman Grant for AASLH Convo and Annual Meeting Webinars</t>
  </si>
  <si>
    <t>130 enrollments @$195 (reflects $20 price increase); One online facilitated StEPs group (12 institutions @$155 each)</t>
  </si>
  <si>
    <t>Two ONLINE ROUNDTABLES 12 ppl @$295 ea. 56 WEBINARS: 14 Free (AASLH Marketing, IHH, Misc); 20 Low-Cost (AASLH Convos, HHC, HCI, HRCB, Pub-Club);12 Professional Dev; 12 Annual Meeting Pre/Post Sessions at $40 each or subscription model; Forecasting slightly lower registration due to potential online saturated market and virtual fatigue. 20 ONLINE COURSES: Forcasting online course registration at 60% (except for Intro to Financial Mgmt &amp; Financial Structures courses @ 100%) 4 Workshops 25@$195)</t>
  </si>
  <si>
    <t>18 facilitators @$250 each plus 6 instructors @$250 each for online courses. $3,000 for Frameworks Virtual Workshop. 3 @$350 X 2 sessions</t>
  </si>
  <si>
    <t>$24,000 Standard HLI; $4,000 for online HLI facilitation</t>
  </si>
  <si>
    <t>$1500 standard HLI; $500 HLI online</t>
  </si>
  <si>
    <t>409.160.3231</t>
  </si>
  <si>
    <t>FACULTY HONORARIA</t>
  </si>
  <si>
    <t>Facilitator Stipend for online group</t>
  </si>
  <si>
    <t>ONLINE WORKSHOPS: 4 workshops w/$500 honoria for experts/scholars and $1,000 honoraria X 4 for facilitators. WEBINARS: 30 webinars @$25 each. VIRTUAL ROUNDTABLE: $2,000. OAH WEBINARS SHARE: $720</t>
  </si>
  <si>
    <t>$11,129 surplus if hotel agrees to drop F&amp;B to $50,000 and negotiate attrition. Will know by mid-May.</t>
  </si>
  <si>
    <t xml:space="preserve">PPP Loan </t>
  </si>
  <si>
    <t xml:space="preserve">Two staff to attend  ATALM, stand-alone meeting of 250th </t>
  </si>
  <si>
    <t>$20,020 towards AASLH Salaries; Remainder to offset direct expenses</t>
  </si>
  <si>
    <t>$250/ea 18 theme focus groups, 6 webinar presenters; $500/ea theme meeting #2</t>
  </si>
  <si>
    <t>FICA /FUTA/Medicare</t>
  </si>
  <si>
    <t>411.040.6110</t>
  </si>
  <si>
    <t xml:space="preserve">FY2020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</si>
</sst>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6" formatCode="&quot;$&quot;#,##0_);[Red]\(&quot;$&quot;#,##0\)"/>
    <numFmt numFmtId="7" formatCode="&quot;$&quot;#,##0.00_);\(&quot;$&quot;#,##0.00\)"/>
    <numFmt numFmtId="41" formatCode="_(* #,##0_);_(* \(#,##0\);_(* &quot;-&quot;_);_(@_)"/>
    <numFmt numFmtId="44" formatCode="_(&quot;$&quot;* #,##0.00_);_(&quot;$&quot;* \(#,##0.00\);_(&quot;$&quot;* &quot;-&quot;??_);_(@_)"/>
    <numFmt numFmtId="164" formatCode="_(&quot;$&quot;* #,##0_);_(&quot;$&quot;* \(#,##0\);_(&quot;$&quot;* &quot;-&quot;??_);_(@_)"/>
    <numFmt numFmtId="165" formatCode="&quot;$&quot;#,##0"/>
    <numFmt numFmtId="166" formatCode="#,##0.00;\(#,##0.00\)"/>
    <numFmt numFmtId="167" formatCode="&quot;$&quot;#,##0.00"/>
    <numFmt numFmtId="168" formatCode="&quot;$&quot;* #,##0.00;\(&quot;$&quot;* #,##0.00\)"/>
    <numFmt numFmtId="169" formatCode="[$-F800]dddd\,\ mmmm\ dd\,\ yyyy"/>
  </numFmts>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i/>
      <sz val="11"/>
      <color rgb="FF000000"/>
      <name val="Calibri"/>
      <family val="2"/>
      <scheme val="minor"/>
    </font>
    <font>
      <b/>
      <i/>
      <sz val="11"/>
      <color theme="1"/>
      <name val="Calibri"/>
      <family val="2"/>
      <scheme val="minor"/>
    </font>
    <font>
      <b/>
      <sz val="12"/>
      <name val="Calibri"/>
      <family val="2"/>
      <scheme val="minor"/>
    </font>
    <font>
      <sz val="9"/>
      <color theme="1"/>
      <name val="Calibri"/>
      <family val="2"/>
      <scheme val="minor"/>
    </font>
    <font>
      <sz val="12"/>
      <color theme="1"/>
      <name val="Calibri"/>
      <family val="2"/>
      <scheme val="minor"/>
    </font>
    <font>
      <sz val="11"/>
      <color rgb="FF000000"/>
      <name val="Calibri"/>
      <family val="2"/>
      <scheme val="minor"/>
    </font>
    <font>
      <sz val="11"/>
      <name val="Calibri"/>
      <family val="2"/>
      <scheme val="minor"/>
    </font>
    <font>
      <sz val="9"/>
      <name val="Calibri"/>
      <family val="2"/>
      <scheme val="minor"/>
    </font>
    <font>
      <strike/>
      <sz val="11"/>
      <color rgb="FFFF0000"/>
      <name val="Calibri"/>
      <family val="2"/>
      <scheme val="minor"/>
    </font>
    <font>
      <i/>
      <sz val="11"/>
      <color theme="1"/>
      <name val="Calibri"/>
      <family val="2"/>
      <scheme val="minor"/>
    </font>
    <font>
      <sz val="10"/>
      <color rgb="FF000000"/>
      <name val="Times New Roman"/>
      <family val="1"/>
    </font>
    <font>
      <sz val="8"/>
      <name val="Calibri"/>
      <family val="2"/>
      <scheme val="minor"/>
    </font>
    <font>
      <sz val="8"/>
      <color theme="1"/>
      <name val="Calibri"/>
      <family val="2"/>
      <scheme val="minor"/>
    </font>
    <font>
      <b/>
      <u/>
      <sz val="11"/>
      <color theme="1"/>
      <name val="Calibri"/>
      <family val="2"/>
      <scheme val="minor"/>
    </font>
    <font>
      <sz val="8"/>
      <color rgb="FF000000"/>
      <name val="Calibri"/>
      <family val="2"/>
      <scheme val="minor"/>
    </font>
    <font>
      <sz val="10"/>
      <color rgb="FF000000"/>
      <name val="Calibri"/>
      <family val="2"/>
      <scheme val="minor"/>
    </font>
    <font>
      <u/>
      <sz val="11"/>
      <color theme="10"/>
      <name val="Calibri"/>
      <family val="2"/>
      <scheme val="minor"/>
    </font>
    <font>
      <b/>
      <sz val="16"/>
      <color theme="1"/>
      <name val="Calibri"/>
      <family val="2"/>
      <scheme val="minor"/>
    </font>
    <font>
      <i/>
      <sz val="8"/>
      <color theme="1"/>
      <name val="Calibri"/>
      <family val="2"/>
      <scheme val="minor"/>
    </font>
    <font>
      <b/>
      <sz val="7"/>
      <color theme="1"/>
      <name val="Calibri"/>
      <family val="2"/>
      <scheme val="minor"/>
    </font>
    <font>
      <b/>
      <sz val="11"/>
      <name val="Calibri"/>
      <family val="2"/>
      <scheme val="minor"/>
    </font>
    <font>
      <sz val="7"/>
      <color theme="1"/>
      <name val="Calibri"/>
      <family val="2"/>
      <scheme val="minor"/>
    </font>
    <font>
      <sz val="10"/>
      <name val="Calibri"/>
      <family val="2"/>
      <scheme val="minor"/>
    </font>
    <font>
      <b/>
      <i/>
      <sz val="10"/>
      <color rgb="FFFF0000"/>
      <name val="Calibri"/>
      <family val="2"/>
      <scheme val="minor"/>
    </font>
    <font>
      <b/>
      <i/>
      <sz val="10"/>
      <color theme="1"/>
      <name val="Calibri"/>
      <family val="2"/>
      <scheme val="minor"/>
    </font>
    <font>
      <sz val="10"/>
      <color theme="1"/>
      <name val="Calibri"/>
      <family val="2"/>
      <scheme val="minor"/>
    </font>
    <font>
      <b/>
      <sz val="11"/>
      <color rgb="FF000000"/>
      <name val="Calibri"/>
      <family val="2"/>
      <scheme val="minor"/>
    </font>
    <font>
      <b/>
      <sz val="10"/>
      <name val="Calibri"/>
      <family val="2"/>
      <scheme val="minor"/>
    </font>
    <font>
      <i/>
      <sz val="10"/>
      <color theme="1"/>
      <name val="Calibri"/>
      <family val="2"/>
      <scheme val="minor"/>
    </font>
    <font>
      <sz val="7"/>
      <color rgb="FFFF0000"/>
      <name val="Calibri"/>
      <family val="2"/>
      <scheme val="minor"/>
    </font>
    <font>
      <sz val="7"/>
      <color rgb="FF000000"/>
      <name val="Calibri"/>
      <family val="2"/>
      <scheme val="minor"/>
    </font>
    <font>
      <sz val="7"/>
      <name val="Calibri"/>
      <family val="2"/>
      <scheme val="minor"/>
    </font>
    <font>
      <b/>
      <i/>
      <sz val="10"/>
      <color rgb="FF000000"/>
      <name val="Calibri"/>
      <family val="2"/>
      <scheme val="minor"/>
    </font>
    <font>
      <strike/>
      <sz val="10"/>
      <color rgb="FFFF0000"/>
      <name val="Calibri"/>
      <family val="2"/>
      <scheme val="minor"/>
    </font>
    <font>
      <b/>
      <sz val="10"/>
      <color theme="1"/>
      <name val="Calibri"/>
      <family val="2"/>
      <scheme val="minor"/>
    </font>
    <font>
      <b/>
      <strike/>
      <sz val="10"/>
      <color rgb="FFFF0000"/>
      <name val="Calibri"/>
      <family val="2"/>
      <scheme val="minor"/>
    </font>
    <font>
      <strike/>
      <sz val="10"/>
      <color theme="1"/>
      <name val="Calibri"/>
      <family val="2"/>
      <scheme val="minor"/>
    </font>
    <font>
      <sz val="10"/>
      <color rgb="FFFF0000"/>
      <name val="Calibri"/>
      <family val="2"/>
      <scheme val="minor"/>
    </font>
    <font>
      <i/>
      <sz val="10"/>
      <color rgb="FF000000"/>
      <name val="Calibri"/>
      <family val="2"/>
      <scheme val="minor"/>
    </font>
    <font>
      <b/>
      <sz val="10"/>
      <color rgb="FFFF0000"/>
      <name val="Calibri"/>
      <family val="2"/>
      <scheme val="minor"/>
    </font>
    <font>
      <i/>
      <sz val="10"/>
      <name val="Calibri"/>
      <family val="2"/>
      <scheme val="minor"/>
    </font>
    <font>
      <sz val="10"/>
      <color theme="1"/>
      <name val="Calibri"/>
      <family val="2"/>
    </font>
    <font>
      <b/>
      <sz val="10"/>
      <color rgb="FF000000"/>
      <name val="Calibri"/>
      <family val="2"/>
      <scheme val="minor"/>
    </font>
    <font>
      <sz val="10"/>
      <color indexed="8"/>
      <name val="Calibri"/>
      <family val="2"/>
    </font>
    <font>
      <b/>
      <i/>
      <strike/>
      <sz val="10"/>
      <color rgb="FFFF0000"/>
      <name val="Calibri"/>
      <family val="2"/>
      <scheme val="minor"/>
    </font>
    <font>
      <b/>
      <i/>
      <sz val="10"/>
      <name val="Calibri"/>
      <family val="2"/>
      <scheme val="minor"/>
    </font>
    <font>
      <strike/>
      <sz val="10"/>
      <color rgb="FF000000"/>
      <name val="Calibri"/>
      <family val="2"/>
      <scheme val="minor"/>
    </font>
    <font>
      <strike/>
      <sz val="10"/>
      <name val="Calibri"/>
      <family val="2"/>
      <scheme val="min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rgb="FF92D050"/>
        <bgColor rgb="FF000000"/>
      </patternFill>
    </fill>
    <fill>
      <patternFill patternType="solid">
        <fgColor theme="4" tint="0.39997558519241921"/>
        <bgColor rgb="FF000000"/>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6" tint="0.59999389629810485"/>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style="double">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461">
    <xf numFmtId="0" fontId="0" fillId="0" borderId="0" xfId="0"/>
    <xf numFmtId="0" fontId="3" fillId="0" borderId="1" xfId="0" applyFont="1" applyBorder="1" applyAlignment="1">
      <alignment wrapText="1"/>
    </xf>
    <xf numFmtId="49" fontId="4" fillId="0" borderId="1" xfId="0" applyNumberFormat="1" applyFont="1" applyBorder="1" applyAlignment="1">
      <alignment horizontal="center" wrapText="1"/>
    </xf>
    <xf numFmtId="0" fontId="5" fillId="0" borderId="1" xfId="0" applyFont="1" applyBorder="1" applyAlignment="1">
      <alignment horizontal="center" wrapText="1"/>
    </xf>
    <xf numFmtId="164" fontId="5" fillId="0" borderId="1" xfId="1" applyNumberFormat="1" applyFont="1" applyBorder="1" applyAlignment="1">
      <alignment horizontal="center" wrapText="1"/>
    </xf>
    <xf numFmtId="0" fontId="0" fillId="0" borderId="1" xfId="0" applyBorder="1" applyAlignment="1">
      <alignment wrapText="1"/>
    </xf>
    <xf numFmtId="49" fontId="6" fillId="2" borderId="1" xfId="0" applyNumberFormat="1" applyFont="1" applyFill="1" applyBorder="1"/>
    <xf numFmtId="164" fontId="8" fillId="2" borderId="1" xfId="1" applyNumberFormat="1" applyFont="1" applyFill="1" applyBorder="1"/>
    <xf numFmtId="0" fontId="0" fillId="0" borderId="1" xfId="0" applyBorder="1"/>
    <xf numFmtId="49" fontId="9" fillId="0" borderId="1" xfId="0" applyNumberFormat="1" applyFont="1" applyBorder="1" applyAlignment="1">
      <alignment horizontal="left"/>
    </xf>
    <xf numFmtId="165" fontId="0" fillId="0" borderId="1" xfId="0" applyNumberFormat="1" applyBorder="1"/>
    <xf numFmtId="164" fontId="1" fillId="0" borderId="1" xfId="1" applyNumberFormat="1" applyBorder="1" applyAlignment="1">
      <alignment wrapText="1"/>
    </xf>
    <xf numFmtId="164" fontId="1" fillId="0" borderId="1" xfId="1" applyNumberFormat="1" applyBorder="1"/>
    <xf numFmtId="0" fontId="0" fillId="3" borderId="1" xfId="0" applyFill="1" applyBorder="1"/>
    <xf numFmtId="164" fontId="1" fillId="3" borderId="1" xfId="1" applyNumberFormat="1" applyFill="1" applyBorder="1"/>
    <xf numFmtId="0" fontId="9" fillId="3" borderId="1" xfId="0" applyFont="1" applyFill="1" applyBorder="1"/>
    <xf numFmtId="49" fontId="10" fillId="0" borderId="1" xfId="0" applyNumberFormat="1" applyFont="1" applyBorder="1" applyAlignment="1">
      <alignment horizontal="left"/>
    </xf>
    <xf numFmtId="164" fontId="10" fillId="0" borderId="1" xfId="1" applyNumberFormat="1" applyFont="1" applyBorder="1"/>
    <xf numFmtId="0" fontId="12" fillId="0" borderId="1" xfId="0" applyFont="1" applyBorder="1"/>
    <xf numFmtId="0" fontId="12" fillId="3" borderId="1" xfId="0" applyFont="1" applyFill="1" applyBorder="1"/>
    <xf numFmtId="0" fontId="7" fillId="0" borderId="1" xfId="0" applyFont="1" applyBorder="1"/>
    <xf numFmtId="165" fontId="3" fillId="0" borderId="1" xfId="0" applyNumberFormat="1" applyFont="1" applyBorder="1"/>
    <xf numFmtId="164" fontId="3" fillId="0" borderId="1" xfId="1" applyNumberFormat="1" applyFont="1" applyBorder="1"/>
    <xf numFmtId="0" fontId="2" fillId="0" borderId="1" xfId="0" applyFont="1" applyBorder="1" applyAlignment="1">
      <alignment wrapText="1"/>
    </xf>
    <xf numFmtId="49" fontId="9" fillId="3" borderId="1" xfId="0" applyNumberFormat="1" applyFont="1" applyFill="1" applyBorder="1" applyAlignment="1">
      <alignment horizontal="left" wrapText="1"/>
    </xf>
    <xf numFmtId="166" fontId="9" fillId="0" borderId="1" xfId="0" applyNumberFormat="1" applyFont="1" applyBorder="1" applyAlignment="1">
      <alignment horizontal="right"/>
    </xf>
    <xf numFmtId="49" fontId="14" fillId="0" borderId="0" xfId="0" applyNumberFormat="1" applyFont="1" applyAlignment="1">
      <alignment horizontal="center"/>
    </xf>
    <xf numFmtId="49" fontId="14" fillId="0" borderId="0" xfId="0" applyNumberFormat="1" applyFont="1" applyAlignment="1">
      <alignment horizontal="right"/>
    </xf>
    <xf numFmtId="49" fontId="14" fillId="0" borderId="0" xfId="0" applyNumberFormat="1" applyFont="1" applyAlignment="1">
      <alignment horizontal="center" wrapText="1"/>
    </xf>
    <xf numFmtId="0" fontId="14" fillId="0" borderId="0" xfId="0" applyFont="1"/>
    <xf numFmtId="49" fontId="14" fillId="0" borderId="0" xfId="0" applyNumberFormat="1" applyFont="1" applyAlignment="1">
      <alignment horizontal="left"/>
    </xf>
    <xf numFmtId="168" fontId="14" fillId="0" borderId="0" xfId="0" applyNumberFormat="1" applyFont="1" applyAlignment="1">
      <alignment horizontal="right"/>
    </xf>
    <xf numFmtId="166" fontId="14" fillId="0" borderId="0" xfId="0" applyNumberFormat="1" applyFont="1" applyAlignment="1">
      <alignment horizontal="right"/>
    </xf>
    <xf numFmtId="49" fontId="0" fillId="0" borderId="0" xfId="0" applyNumberFormat="1" applyAlignment="1">
      <alignment horizontal="left"/>
    </xf>
    <xf numFmtId="166" fontId="0" fillId="0" borderId="2" xfId="0" applyNumberFormat="1" applyBorder="1" applyAlignment="1">
      <alignment horizontal="right"/>
    </xf>
    <xf numFmtId="49" fontId="0" fillId="0" borderId="3" xfId="0" applyNumberFormat="1" applyBorder="1" applyAlignment="1">
      <alignment horizontal="left"/>
    </xf>
    <xf numFmtId="166" fontId="0" fillId="0" borderId="4" xfId="0" applyNumberFormat="1" applyBorder="1" applyAlignment="1">
      <alignment horizontal="right"/>
    </xf>
    <xf numFmtId="0" fontId="0" fillId="0" borderId="8" xfId="0" applyBorder="1"/>
    <xf numFmtId="0" fontId="3" fillId="4" borderId="13" xfId="0" applyFont="1" applyFill="1" applyBorder="1"/>
    <xf numFmtId="0" fontId="0" fillId="4" borderId="14" xfId="0" applyFill="1" applyBorder="1"/>
    <xf numFmtId="0" fontId="3" fillId="5" borderId="13" xfId="0" applyFont="1" applyFill="1" applyBorder="1" applyAlignment="1">
      <alignment wrapText="1"/>
    </xf>
    <xf numFmtId="0" fontId="3" fillId="5" borderId="15" xfId="0" applyFont="1" applyFill="1" applyBorder="1" applyAlignment="1">
      <alignment horizontal="center" wrapText="1"/>
    </xf>
    <xf numFmtId="0" fontId="3" fillId="5" borderId="14" xfId="0" applyFont="1" applyFill="1" applyBorder="1" applyAlignment="1">
      <alignment horizontal="center" wrapText="1"/>
    </xf>
    <xf numFmtId="0" fontId="3" fillId="5" borderId="16" xfId="0" applyFont="1" applyFill="1" applyBorder="1" applyAlignment="1">
      <alignment horizontal="center" wrapText="1"/>
    </xf>
    <xf numFmtId="164" fontId="3" fillId="2" borderId="17" xfId="1" applyNumberFormat="1" applyFont="1" applyFill="1" applyBorder="1" applyAlignment="1">
      <alignment horizontal="center" wrapText="1"/>
    </xf>
    <xf numFmtId="0" fontId="3" fillId="0" borderId="8" xfId="0" applyFont="1" applyBorder="1"/>
    <xf numFmtId="0" fontId="3" fillId="4" borderId="5" xfId="0" applyFont="1" applyFill="1" applyBorder="1"/>
    <xf numFmtId="0" fontId="0" fillId="4" borderId="6" xfId="0" applyFill="1" applyBorder="1"/>
    <xf numFmtId="0" fontId="13" fillId="5" borderId="5" xfId="0" applyFont="1" applyFill="1" applyBorder="1" applyAlignment="1">
      <alignment horizontal="right"/>
    </xf>
    <xf numFmtId="17" fontId="13" fillId="5" borderId="8" xfId="0" quotePrefix="1" applyNumberFormat="1" applyFont="1" applyFill="1" applyBorder="1" applyAlignment="1">
      <alignment horizontal="center"/>
    </xf>
    <xf numFmtId="14" fontId="13" fillId="5" borderId="6" xfId="0" quotePrefix="1" applyNumberFormat="1" applyFont="1" applyFill="1" applyBorder="1" applyAlignment="1">
      <alignment horizontal="center"/>
    </xf>
    <xf numFmtId="14" fontId="0" fillId="5" borderId="1" xfId="0" applyNumberFormat="1" applyFill="1" applyBorder="1" applyAlignment="1">
      <alignment horizontal="center"/>
    </xf>
    <xf numFmtId="164" fontId="1" fillId="2" borderId="7" xfId="1" applyNumberFormat="1" applyFill="1" applyBorder="1"/>
    <xf numFmtId="0" fontId="0" fillId="4" borderId="5" xfId="0" applyFill="1" applyBorder="1"/>
    <xf numFmtId="164" fontId="0" fillId="4" borderId="6" xfId="0" applyNumberFormat="1" applyFill="1" applyBorder="1"/>
    <xf numFmtId="0" fontId="3" fillId="5" borderId="5" xfId="0" applyFont="1" applyFill="1" applyBorder="1"/>
    <xf numFmtId="0" fontId="3" fillId="5" borderId="8" xfId="0" applyFont="1" applyFill="1" applyBorder="1"/>
    <xf numFmtId="0" fontId="0" fillId="5" borderId="6" xfId="0" applyFill="1" applyBorder="1"/>
    <xf numFmtId="14" fontId="0" fillId="5" borderId="1" xfId="0" applyNumberFormat="1" applyFill="1" applyBorder="1"/>
    <xf numFmtId="0" fontId="0" fillId="5" borderId="1" xfId="0" applyFill="1" applyBorder="1"/>
    <xf numFmtId="0" fontId="0" fillId="5" borderId="5" xfId="0" applyFill="1" applyBorder="1" applyAlignment="1">
      <alignment horizontal="left" indent="1"/>
    </xf>
    <xf numFmtId="165" fontId="0" fillId="5" borderId="8" xfId="0" applyNumberFormat="1" applyFill="1" applyBorder="1" applyAlignment="1">
      <alignment horizontal="left" indent="1"/>
    </xf>
    <xf numFmtId="164" fontId="1" fillId="5" borderId="6" xfId="1" applyNumberFormat="1" applyFill="1" applyBorder="1"/>
    <xf numFmtId="164" fontId="1" fillId="5" borderId="1" xfId="1" applyNumberFormat="1" applyFill="1" applyBorder="1"/>
    <xf numFmtId="0" fontId="0" fillId="5" borderId="5" xfId="0" applyFill="1" applyBorder="1" applyAlignment="1">
      <alignment horizontal="left" wrapText="1" indent="1"/>
    </xf>
    <xf numFmtId="165" fontId="0" fillId="5" borderId="8" xfId="0" applyNumberFormat="1" applyFill="1" applyBorder="1" applyAlignment="1">
      <alignment horizontal="left" wrapText="1" indent="1"/>
    </xf>
    <xf numFmtId="164" fontId="0" fillId="5" borderId="1" xfId="1" applyNumberFormat="1" applyFont="1" applyFill="1" applyBorder="1"/>
    <xf numFmtId="0" fontId="3" fillId="4" borderId="5" xfId="0" applyFont="1" applyFill="1" applyBorder="1" applyAlignment="1">
      <alignment horizontal="right"/>
    </xf>
    <xf numFmtId="0" fontId="10" fillId="0" borderId="8" xfId="0" applyFont="1" applyBorder="1"/>
    <xf numFmtId="0" fontId="0" fillId="0" borderId="5" xfId="0" applyBorder="1" applyAlignment="1">
      <alignment horizontal="left" indent="1"/>
    </xf>
    <xf numFmtId="165" fontId="0" fillId="0" borderId="8" xfId="0" applyNumberFormat="1" applyBorder="1" applyAlignment="1">
      <alignment horizontal="left" indent="1"/>
    </xf>
    <xf numFmtId="164" fontId="1" fillId="0" borderId="6" xfId="1" applyNumberFormat="1" applyBorder="1"/>
    <xf numFmtId="7" fontId="0" fillId="0" borderId="8" xfId="0" applyNumberFormat="1" applyBorder="1"/>
    <xf numFmtId="164" fontId="1" fillId="0" borderId="7" xfId="1" applyNumberFormat="1" applyBorder="1"/>
    <xf numFmtId="0" fontId="15" fillId="0" borderId="8" xfId="0" applyFont="1" applyBorder="1"/>
    <xf numFmtId="0" fontId="3" fillId="5" borderId="5" xfId="0" applyFont="1" applyFill="1" applyBorder="1" applyAlignment="1">
      <alignment horizontal="right"/>
    </xf>
    <xf numFmtId="165" fontId="3" fillId="5" borderId="8" xfId="0" applyNumberFormat="1" applyFont="1" applyFill="1" applyBorder="1" applyAlignment="1">
      <alignment horizontal="right"/>
    </xf>
    <xf numFmtId="164" fontId="3" fillId="5" borderId="1" xfId="1" applyNumberFormat="1" applyFont="1" applyFill="1" applyBorder="1"/>
    <xf numFmtId="0" fontId="0" fillId="5" borderId="5" xfId="0" applyFill="1" applyBorder="1"/>
    <xf numFmtId="0" fontId="0" fillId="5" borderId="8" xfId="0" applyFill="1" applyBorder="1"/>
    <xf numFmtId="49" fontId="0" fillId="5" borderId="5" xfId="0" applyNumberFormat="1" applyFill="1" applyBorder="1" applyAlignment="1">
      <alignment horizontal="left" indent="1"/>
    </xf>
    <xf numFmtId="6" fontId="0" fillId="5" borderId="8" xfId="0" applyNumberFormat="1" applyFill="1" applyBorder="1" applyAlignment="1">
      <alignment horizontal="left" indent="1"/>
    </xf>
    <xf numFmtId="0" fontId="16" fillId="6" borderId="8" xfId="0" applyFont="1" applyFill="1" applyBorder="1"/>
    <xf numFmtId="164" fontId="0" fillId="5" borderId="1" xfId="1" applyNumberFormat="1" applyFont="1" applyFill="1" applyBorder="1" applyAlignment="1">
      <alignment horizontal="right"/>
    </xf>
    <xf numFmtId="44" fontId="0" fillId="4" borderId="6" xfId="0" applyNumberFormat="1" applyFill="1" applyBorder="1"/>
    <xf numFmtId="169" fontId="3" fillId="6" borderId="5" xfId="0" applyNumberFormat="1" applyFont="1" applyFill="1" applyBorder="1" applyAlignment="1">
      <alignment wrapText="1"/>
    </xf>
    <xf numFmtId="14" fontId="0" fillId="6" borderId="6" xfId="0" applyNumberFormat="1" applyFill="1" applyBorder="1"/>
    <xf numFmtId="0" fontId="0" fillId="6" borderId="5" xfId="0" applyFill="1" applyBorder="1"/>
    <xf numFmtId="164" fontId="0" fillId="6" borderId="6" xfId="0" applyNumberFormat="1" applyFill="1" applyBorder="1"/>
    <xf numFmtId="6" fontId="3" fillId="5" borderId="8" xfId="0" applyNumberFormat="1" applyFont="1" applyFill="1" applyBorder="1" applyAlignment="1">
      <alignment horizontal="right"/>
    </xf>
    <xf numFmtId="164" fontId="3" fillId="2" borderId="7" xfId="1" applyNumberFormat="1" applyFont="1" applyFill="1" applyBorder="1"/>
    <xf numFmtId="6" fontId="3" fillId="5" borderId="8" xfId="0" applyNumberFormat="1" applyFont="1" applyFill="1" applyBorder="1"/>
    <xf numFmtId="6" fontId="0" fillId="5" borderId="8" xfId="0" applyNumberFormat="1" applyFill="1" applyBorder="1"/>
    <xf numFmtId="0" fontId="2" fillId="0" borderId="8" xfId="0" applyFont="1" applyBorder="1"/>
    <xf numFmtId="0" fontId="16" fillId="0" borderId="8" xfId="0" applyFont="1" applyBorder="1"/>
    <xf numFmtId="164" fontId="3" fillId="5" borderId="8" xfId="0" applyNumberFormat="1" applyFont="1" applyFill="1" applyBorder="1" applyAlignment="1">
      <alignment horizontal="right"/>
    </xf>
    <xf numFmtId="164" fontId="3" fillId="2" borderId="8" xfId="0" applyNumberFormat="1" applyFont="1" applyFill="1" applyBorder="1" applyAlignment="1">
      <alignment horizontal="right"/>
    </xf>
    <xf numFmtId="0" fontId="17" fillId="5" borderId="5" xfId="0" applyFont="1" applyFill="1" applyBorder="1"/>
    <xf numFmtId="6" fontId="17" fillId="5" borderId="8" xfId="0" applyNumberFormat="1" applyFont="1" applyFill="1" applyBorder="1"/>
    <xf numFmtId="0" fontId="0" fillId="6" borderId="9" xfId="0" applyFill="1" applyBorder="1"/>
    <xf numFmtId="164" fontId="0" fillId="6" borderId="11" xfId="0" applyNumberFormat="1" applyFill="1" applyBorder="1"/>
    <xf numFmtId="164" fontId="0" fillId="5" borderId="1" xfId="1" quotePrefix="1" applyNumberFormat="1" applyFont="1" applyFill="1" applyBorder="1"/>
    <xf numFmtId="0" fontId="3" fillId="6" borderId="18" xfId="0" applyFont="1" applyFill="1" applyBorder="1" applyAlignment="1">
      <alignment horizontal="right"/>
    </xf>
    <xf numFmtId="164" fontId="3" fillId="6" borderId="19" xfId="0" applyNumberFormat="1" applyFont="1" applyFill="1" applyBorder="1"/>
    <xf numFmtId="0" fontId="0" fillId="0" borderId="20" xfId="0" applyBorder="1"/>
    <xf numFmtId="4" fontId="0" fillId="0" borderId="21" xfId="0" applyNumberFormat="1" applyBorder="1"/>
    <xf numFmtId="0" fontId="0" fillId="0" borderId="5" xfId="0" applyBorder="1"/>
    <xf numFmtId="4" fontId="0" fillId="0" borderId="6" xfId="0" applyNumberFormat="1" applyBorder="1"/>
    <xf numFmtId="0" fontId="3" fillId="5" borderId="18" xfId="0" applyFont="1" applyFill="1" applyBorder="1" applyAlignment="1">
      <alignment horizontal="right"/>
    </xf>
    <xf numFmtId="6" fontId="3" fillId="5" borderId="22" xfId="0" applyNumberFormat="1" applyFont="1" applyFill="1" applyBorder="1" applyAlignment="1">
      <alignment horizontal="right"/>
    </xf>
    <xf numFmtId="164" fontId="3" fillId="5" borderId="23" xfId="1" applyNumberFormat="1" applyFont="1" applyFill="1" applyBorder="1"/>
    <xf numFmtId="164" fontId="3" fillId="6" borderId="23" xfId="1" applyNumberFormat="1" applyFont="1" applyFill="1" applyBorder="1"/>
    <xf numFmtId="0" fontId="16" fillId="6" borderId="8" xfId="0" applyFont="1" applyFill="1" applyBorder="1" applyAlignment="1">
      <alignment wrapText="1"/>
    </xf>
    <xf numFmtId="0" fontId="0" fillId="6" borderId="1" xfId="0" applyFill="1" applyBorder="1"/>
    <xf numFmtId="49" fontId="18" fillId="0" borderId="0" xfId="0" applyNumberFormat="1" applyFont="1" applyAlignment="1">
      <alignment horizontal="left"/>
    </xf>
    <xf numFmtId="164" fontId="19" fillId="0" borderId="0" xfId="1" applyNumberFormat="1" applyFont="1" applyAlignment="1">
      <alignment horizontal="left" wrapText="1"/>
    </xf>
    <xf numFmtId="165" fontId="0" fillId="0" borderId="8" xfId="0" applyNumberFormat="1" applyBorder="1"/>
    <xf numFmtId="165" fontId="0" fillId="0" borderId="1" xfId="0" applyNumberFormat="1" applyBorder="1" applyAlignment="1">
      <alignment wrapText="1"/>
    </xf>
    <xf numFmtId="49" fontId="18" fillId="0" borderId="24" xfId="0" applyNumberFormat="1" applyFont="1" applyBorder="1" applyAlignment="1">
      <alignment horizontal="left"/>
    </xf>
    <xf numFmtId="164" fontId="19" fillId="0" borderId="24" xfId="1" applyNumberFormat="1" applyFont="1" applyBorder="1" applyAlignment="1">
      <alignment horizontal="left" wrapText="1"/>
    </xf>
    <xf numFmtId="0" fontId="16" fillId="0" borderId="1" xfId="0" applyFont="1" applyBorder="1"/>
    <xf numFmtId="165" fontId="0" fillId="3" borderId="1" xfId="0" applyNumberFormat="1" applyFill="1" applyBorder="1" applyAlignment="1">
      <alignment wrapText="1"/>
    </xf>
    <xf numFmtId="0" fontId="21" fillId="0" borderId="1" xfId="0" applyFont="1" applyBorder="1" applyAlignment="1">
      <alignment wrapText="1"/>
    </xf>
    <xf numFmtId="164" fontId="22" fillId="2" borderId="1" xfId="1" applyNumberFormat="1" applyFont="1" applyFill="1" applyBorder="1" applyAlignment="1">
      <alignment horizontal="center" wrapText="1"/>
    </xf>
    <xf numFmtId="164" fontId="6" fillId="2" borderId="1" xfId="1" applyNumberFormat="1" applyFont="1" applyFill="1" applyBorder="1"/>
    <xf numFmtId="0" fontId="23" fillId="0" borderId="1" xfId="0" applyFont="1" applyBorder="1" applyAlignment="1">
      <alignment wrapText="1"/>
    </xf>
    <xf numFmtId="49" fontId="24" fillId="7" borderId="1" xfId="0" applyNumberFormat="1" applyFont="1" applyFill="1" applyBorder="1" applyAlignment="1">
      <alignment horizontal="left" indent="1"/>
    </xf>
    <xf numFmtId="49" fontId="9" fillId="7" borderId="1" xfId="0" applyNumberFormat="1" applyFont="1" applyFill="1" applyBorder="1" applyAlignment="1">
      <alignment horizontal="left"/>
    </xf>
    <xf numFmtId="165" fontId="0" fillId="7" borderId="1" xfId="0" applyNumberFormat="1" applyFill="1" applyBorder="1"/>
    <xf numFmtId="164" fontId="1" fillId="7" borderId="1" xfId="1" applyNumberFormat="1" applyFill="1" applyBorder="1" applyAlignment="1">
      <alignment wrapText="1"/>
    </xf>
    <xf numFmtId="164" fontId="1" fillId="7" borderId="1" xfId="1" applyNumberFormat="1" applyFill="1" applyBorder="1"/>
    <xf numFmtId="0" fontId="25" fillId="0" borderId="1" xfId="0" applyFont="1" applyBorder="1" applyAlignment="1">
      <alignment wrapText="1"/>
    </xf>
    <xf numFmtId="49" fontId="26" fillId="4" borderId="1" xfId="0" applyNumberFormat="1" applyFont="1" applyFill="1" applyBorder="1" applyAlignment="1">
      <alignment horizontal="left" indent="2"/>
    </xf>
    <xf numFmtId="49" fontId="27" fillId="4" borderId="1" xfId="0" applyNumberFormat="1" applyFont="1" applyFill="1" applyBorder="1" applyAlignment="1">
      <alignment horizontal="left"/>
    </xf>
    <xf numFmtId="0" fontId="28" fillId="4" borderId="1" xfId="0" applyFont="1" applyFill="1" applyBorder="1" applyAlignment="1">
      <alignment horizontal="center"/>
    </xf>
    <xf numFmtId="164" fontId="29" fillId="4" borderId="1" xfId="1" applyNumberFormat="1" applyFont="1" applyFill="1" applyBorder="1" applyAlignment="1">
      <alignment wrapText="1"/>
    </xf>
    <xf numFmtId="164" fontId="29" fillId="4" borderId="1" xfId="1" applyNumberFormat="1" applyFont="1" applyFill="1" applyBorder="1" applyAlignment="1">
      <alignment horizontal="center"/>
    </xf>
    <xf numFmtId="0" fontId="29" fillId="0" borderId="1" xfId="0" applyFont="1" applyBorder="1" applyAlignment="1">
      <alignment wrapText="1"/>
    </xf>
    <xf numFmtId="0" fontId="29" fillId="0" borderId="1" xfId="0" applyFont="1" applyBorder="1"/>
    <xf numFmtId="49" fontId="19" fillId="4" borderId="1" xfId="0" applyNumberFormat="1" applyFont="1" applyFill="1" applyBorder="1" applyAlignment="1">
      <alignment horizontal="left"/>
    </xf>
    <xf numFmtId="165" fontId="29" fillId="4" borderId="1" xfId="0" applyNumberFormat="1" applyFont="1" applyFill="1" applyBorder="1"/>
    <xf numFmtId="164" fontId="29" fillId="4" borderId="1" xfId="1" applyNumberFormat="1" applyFont="1" applyFill="1" applyBorder="1"/>
    <xf numFmtId="164" fontId="29" fillId="0" borderId="1" xfId="1" applyNumberFormat="1" applyFont="1" applyBorder="1" applyAlignment="1">
      <alignment wrapText="1"/>
    </xf>
    <xf numFmtId="49" fontId="19" fillId="4" borderId="1" xfId="0" applyNumberFormat="1" applyFont="1" applyFill="1" applyBorder="1" applyAlignment="1">
      <alignment horizontal="left" indent="2"/>
    </xf>
    <xf numFmtId="6" fontId="29" fillId="0" borderId="1" xfId="0" applyNumberFormat="1" applyFont="1" applyBorder="1" applyAlignment="1">
      <alignment wrapText="1"/>
    </xf>
    <xf numFmtId="164" fontId="29" fillId="0" borderId="1" xfId="0" applyNumberFormat="1" applyFont="1" applyBorder="1"/>
    <xf numFmtId="0" fontId="0" fillId="7" borderId="1" xfId="0" applyFill="1" applyBorder="1"/>
    <xf numFmtId="164" fontId="25" fillId="0" borderId="1" xfId="1" applyNumberFormat="1" applyFont="1" applyBorder="1" applyAlignment="1">
      <alignment wrapText="1"/>
    </xf>
    <xf numFmtId="6" fontId="0" fillId="0" borderId="1" xfId="0" applyNumberFormat="1" applyBorder="1" applyAlignment="1">
      <alignment wrapText="1"/>
    </xf>
    <xf numFmtId="49" fontId="30" fillId="7" borderId="1" xfId="0" applyNumberFormat="1" applyFont="1" applyFill="1" applyBorder="1" applyAlignment="1">
      <alignment horizontal="left" indent="1"/>
    </xf>
    <xf numFmtId="49" fontId="19" fillId="8" borderId="1" xfId="0" applyNumberFormat="1" applyFont="1" applyFill="1" applyBorder="1" applyAlignment="1">
      <alignment horizontal="left" indent="1"/>
    </xf>
    <xf numFmtId="165" fontId="29" fillId="8" borderId="1" xfId="0" applyNumberFormat="1" applyFont="1" applyFill="1" applyBorder="1"/>
    <xf numFmtId="164" fontId="29" fillId="8" borderId="1" xfId="1" applyNumberFormat="1" applyFont="1" applyFill="1" applyBorder="1" applyAlignment="1">
      <alignment wrapText="1"/>
    </xf>
    <xf numFmtId="164" fontId="29" fillId="8" borderId="1" xfId="1" applyNumberFormat="1" applyFont="1" applyFill="1" applyBorder="1"/>
    <xf numFmtId="49" fontId="19" fillId="8" borderId="1" xfId="0" applyNumberFormat="1" applyFont="1" applyFill="1" applyBorder="1" applyAlignment="1">
      <alignment horizontal="left"/>
    </xf>
    <xf numFmtId="49" fontId="26" fillId="8" borderId="1" xfId="0" applyNumberFormat="1" applyFont="1" applyFill="1" applyBorder="1" applyAlignment="1">
      <alignment horizontal="left" indent="2"/>
    </xf>
    <xf numFmtId="49" fontId="26" fillId="8" borderId="1" xfId="0" applyNumberFormat="1" applyFont="1" applyFill="1" applyBorder="1" applyAlignment="1">
      <alignment horizontal="left"/>
    </xf>
    <xf numFmtId="165" fontId="25" fillId="3" borderId="1" xfId="0" applyNumberFormat="1" applyFont="1" applyFill="1" applyBorder="1" applyAlignment="1">
      <alignment wrapText="1"/>
    </xf>
    <xf numFmtId="49" fontId="10" fillId="0" borderId="1" xfId="0" applyNumberFormat="1" applyFont="1" applyBorder="1" applyAlignment="1">
      <alignment horizontal="left" indent="2"/>
    </xf>
    <xf numFmtId="164" fontId="9" fillId="7" borderId="1" xfId="0" applyNumberFormat="1" applyFont="1" applyFill="1" applyBorder="1" applyAlignment="1">
      <alignment horizontal="left"/>
    </xf>
    <xf numFmtId="49" fontId="19" fillId="8" borderId="1" xfId="0" applyNumberFormat="1" applyFont="1" applyFill="1" applyBorder="1" applyAlignment="1">
      <alignment horizontal="left" indent="2"/>
    </xf>
    <xf numFmtId="165" fontId="25" fillId="0" borderId="1" xfId="0" applyNumberFormat="1" applyFont="1" applyBorder="1" applyAlignment="1">
      <alignment wrapText="1"/>
    </xf>
    <xf numFmtId="0" fontId="24" fillId="7" borderId="1" xfId="0" applyFont="1" applyFill="1" applyBorder="1" applyAlignment="1">
      <alignment horizontal="left" indent="1"/>
    </xf>
    <xf numFmtId="0" fontId="24" fillId="7" borderId="1" xfId="0" applyFont="1" applyFill="1" applyBorder="1" applyAlignment="1">
      <alignment horizontal="right"/>
    </xf>
    <xf numFmtId="165" fontId="5" fillId="7" borderId="1" xfId="0" applyNumberFormat="1" applyFont="1" applyFill="1" applyBorder="1"/>
    <xf numFmtId="0" fontId="26" fillId="8" borderId="1" xfId="0" applyFont="1" applyFill="1" applyBorder="1" applyAlignment="1">
      <alignment horizontal="left" indent="2"/>
    </xf>
    <xf numFmtId="0" fontId="31" fillId="8" borderId="1" xfId="0" applyFont="1" applyFill="1" applyBorder="1" applyAlignment="1">
      <alignment horizontal="right"/>
    </xf>
    <xf numFmtId="165" fontId="28" fillId="8" borderId="1" xfId="0" applyNumberFormat="1" applyFont="1" applyFill="1" applyBorder="1"/>
    <xf numFmtId="0" fontId="31" fillId="8" borderId="1" xfId="0" applyFont="1" applyFill="1" applyBorder="1" applyAlignment="1">
      <alignment horizontal="left" indent="2"/>
    </xf>
    <xf numFmtId="0" fontId="28" fillId="8" borderId="1" xfId="0" applyFont="1" applyFill="1" applyBorder="1" applyAlignment="1">
      <alignment horizontal="center"/>
    </xf>
    <xf numFmtId="164" fontId="32" fillId="8" borderId="1" xfId="1" applyNumberFormat="1" applyFont="1" applyFill="1" applyBorder="1" applyAlignment="1">
      <alignment horizontal="center" wrapText="1"/>
    </xf>
    <xf numFmtId="164" fontId="32" fillId="8" borderId="1" xfId="1" applyNumberFormat="1" applyFont="1" applyFill="1" applyBorder="1" applyAlignment="1">
      <alignment horizontal="center"/>
    </xf>
    <xf numFmtId="164" fontId="33" fillId="0" borderId="1" xfId="0" applyNumberFormat="1" applyFont="1" applyBorder="1" applyAlignment="1">
      <alignment wrapText="1"/>
    </xf>
    <xf numFmtId="0" fontId="26" fillId="8" borderId="1" xfId="0" applyFont="1" applyFill="1" applyBorder="1"/>
    <xf numFmtId="164" fontId="28" fillId="8" borderId="1" xfId="1" applyNumberFormat="1" applyFont="1" applyFill="1" applyBorder="1" applyAlignment="1">
      <alignment horizontal="center" wrapText="1"/>
    </xf>
    <xf numFmtId="164" fontId="28" fillId="8" borderId="1" xfId="1" applyNumberFormat="1" applyFont="1" applyFill="1" applyBorder="1" applyAlignment="1">
      <alignment horizontal="center"/>
    </xf>
    <xf numFmtId="165" fontId="29" fillId="8" borderId="1" xfId="1" applyNumberFormat="1" applyFont="1" applyFill="1" applyBorder="1"/>
    <xf numFmtId="164" fontId="28" fillId="8" borderId="1" xfId="1" applyNumberFormat="1" applyFont="1" applyFill="1" applyBorder="1"/>
    <xf numFmtId="49" fontId="33" fillId="0" borderId="1" xfId="0" applyNumberFormat="1" applyFont="1" applyBorder="1" applyAlignment="1">
      <alignment horizontal="left" wrapText="1"/>
    </xf>
    <xf numFmtId="41" fontId="9" fillId="0" borderId="1" xfId="0" applyNumberFormat="1" applyFont="1" applyBorder="1"/>
    <xf numFmtId="49" fontId="34" fillId="0" borderId="1" xfId="0" applyNumberFormat="1" applyFont="1" applyBorder="1" applyAlignment="1">
      <alignment horizontal="left" wrapText="1"/>
    </xf>
    <xf numFmtId="49" fontId="9" fillId="0" borderId="1" xfId="0" applyNumberFormat="1" applyFont="1" applyBorder="1" applyAlignment="1">
      <alignment horizontal="left" wrapText="1"/>
    </xf>
    <xf numFmtId="164" fontId="33" fillId="0" borderId="1" xfId="0" applyNumberFormat="1" applyFont="1" applyBorder="1" applyAlignment="1">
      <alignment horizontal="left" wrapText="1"/>
    </xf>
    <xf numFmtId="41" fontId="34" fillId="0" borderId="1" xfId="0" applyNumberFormat="1" applyFont="1" applyBorder="1" applyAlignment="1">
      <alignment wrapText="1"/>
    </xf>
    <xf numFmtId="164" fontId="29" fillId="8" borderId="1" xfId="1" applyNumberFormat="1" applyFont="1" applyFill="1" applyBorder="1" applyAlignment="1">
      <alignment horizontal="right" wrapText="1"/>
    </xf>
    <xf numFmtId="41" fontId="33" fillId="0" borderId="1" xfId="0" applyNumberFormat="1" applyFont="1" applyBorder="1" applyAlignment="1">
      <alignment wrapText="1"/>
    </xf>
    <xf numFmtId="164" fontId="0" fillId="0" borderId="1" xfId="0" applyNumberFormat="1" applyBorder="1"/>
    <xf numFmtId="164" fontId="25" fillId="0" borderId="1" xfId="0" applyNumberFormat="1" applyFont="1" applyBorder="1" applyAlignment="1">
      <alignment wrapText="1"/>
    </xf>
    <xf numFmtId="0" fontId="33" fillId="0" borderId="1" xfId="0" applyFont="1" applyBorder="1" applyAlignment="1">
      <alignment wrapText="1"/>
    </xf>
    <xf numFmtId="0" fontId="26" fillId="8" borderId="1" xfId="0" applyFont="1" applyFill="1" applyBorder="1" applyAlignment="1">
      <alignment wrapText="1"/>
    </xf>
    <xf numFmtId="49" fontId="31" fillId="8" borderId="1" xfId="0" applyNumberFormat="1" applyFont="1" applyFill="1" applyBorder="1" applyAlignment="1">
      <alignment horizontal="left" indent="2"/>
    </xf>
    <xf numFmtId="0" fontId="29" fillId="8" borderId="1" xfId="0" applyFont="1" applyFill="1" applyBorder="1" applyAlignment="1">
      <alignment horizontal="left" indent="2"/>
    </xf>
    <xf numFmtId="164" fontId="26" fillId="8" borderId="1" xfId="1" applyNumberFormat="1" applyFont="1" applyFill="1" applyBorder="1"/>
    <xf numFmtId="165" fontId="28" fillId="8" borderId="1" xfId="1" applyNumberFormat="1" applyFont="1" applyFill="1" applyBorder="1" applyAlignment="1">
      <alignment horizontal="right"/>
    </xf>
    <xf numFmtId="164" fontId="29" fillId="8" borderId="1" xfId="1" applyNumberFormat="1" applyFont="1" applyFill="1" applyBorder="1" applyAlignment="1">
      <alignment horizontal="right"/>
    </xf>
    <xf numFmtId="49" fontId="35" fillId="0" borderId="1" xfId="0" applyNumberFormat="1" applyFont="1" applyBorder="1" applyAlignment="1">
      <alignment horizontal="left" wrapText="1"/>
    </xf>
    <xf numFmtId="167" fontId="26" fillId="8" borderId="1" xfId="1" applyNumberFormat="1" applyFont="1" applyFill="1" applyBorder="1"/>
    <xf numFmtId="49" fontId="10" fillId="3" borderId="1" xfId="0" applyNumberFormat="1" applyFont="1" applyFill="1" applyBorder="1" applyAlignment="1">
      <alignment horizontal="left" wrapText="1"/>
    </xf>
    <xf numFmtId="0" fontId="35" fillId="0" borderId="1" xfId="0" applyFont="1" applyBorder="1" applyAlignment="1">
      <alignment wrapText="1"/>
    </xf>
    <xf numFmtId="49" fontId="26" fillId="8" borderId="1" xfId="0" applyNumberFormat="1" applyFont="1" applyFill="1" applyBorder="1" applyAlignment="1">
      <alignment horizontal="left" wrapText="1"/>
    </xf>
    <xf numFmtId="0" fontId="27" fillId="8" borderId="1" xfId="0" applyFont="1" applyFill="1" applyBorder="1"/>
    <xf numFmtId="49" fontId="36" fillId="8" borderId="1" xfId="0" applyNumberFormat="1" applyFont="1" applyFill="1" applyBorder="1" applyAlignment="1">
      <alignment horizontal="center"/>
    </xf>
    <xf numFmtId="164" fontId="0" fillId="0" borderId="1" xfId="0" applyNumberFormat="1" applyBorder="1" applyAlignment="1">
      <alignment wrapText="1"/>
    </xf>
    <xf numFmtId="0" fontId="25" fillId="3" borderId="1" xfId="0" applyFont="1" applyFill="1" applyBorder="1" applyAlignment="1">
      <alignment wrapText="1"/>
    </xf>
    <xf numFmtId="164" fontId="2" fillId="0" borderId="1" xfId="0" applyNumberFormat="1" applyFont="1" applyBorder="1"/>
    <xf numFmtId="49" fontId="24" fillId="7" borderId="1" xfId="0" applyNumberFormat="1" applyFont="1" applyFill="1" applyBorder="1" applyAlignment="1">
      <alignment horizontal="right"/>
    </xf>
    <xf numFmtId="165" fontId="3" fillId="7" borderId="1" xfId="0" applyNumberFormat="1" applyFont="1" applyFill="1" applyBorder="1"/>
    <xf numFmtId="164" fontId="3" fillId="7" borderId="1" xfId="1" applyNumberFormat="1" applyFont="1" applyFill="1" applyBorder="1" applyAlignment="1">
      <alignment wrapText="1"/>
    </xf>
    <xf numFmtId="164" fontId="3" fillId="7" borderId="1" xfId="1" applyNumberFormat="1" applyFont="1" applyFill="1" applyBorder="1"/>
    <xf numFmtId="165" fontId="2" fillId="7" borderId="1" xfId="0" applyNumberFormat="1" applyFont="1" applyFill="1" applyBorder="1"/>
    <xf numFmtId="164" fontId="24" fillId="7" borderId="1" xfId="1" applyNumberFormat="1" applyFont="1" applyFill="1" applyBorder="1" applyAlignment="1">
      <alignment wrapText="1"/>
    </xf>
    <xf numFmtId="0" fontId="3" fillId="7" borderId="1" xfId="0" applyFont="1" applyFill="1" applyBorder="1" applyAlignment="1">
      <alignment horizontal="right"/>
    </xf>
    <xf numFmtId="0" fontId="25" fillId="0" borderId="1" xfId="0" applyFont="1" applyBorder="1" applyAlignment="1">
      <alignment vertical="center" wrapText="1"/>
    </xf>
    <xf numFmtId="164" fontId="5" fillId="6" borderId="1" xfId="1" applyNumberFormat="1" applyFont="1" applyFill="1" applyBorder="1" applyAlignment="1">
      <alignment horizontal="center" wrapText="1"/>
    </xf>
    <xf numFmtId="164" fontId="0" fillId="7" borderId="1" xfId="1" applyNumberFormat="1" applyFont="1" applyFill="1" applyBorder="1"/>
    <xf numFmtId="164" fontId="28" fillId="3" borderId="1" xfId="1" applyNumberFormat="1" applyFont="1" applyFill="1" applyBorder="1" applyAlignment="1">
      <alignment horizontal="center" wrapText="1"/>
    </xf>
    <xf numFmtId="3" fontId="29" fillId="0" borderId="1" xfId="0" applyNumberFormat="1" applyFont="1" applyBorder="1"/>
    <xf numFmtId="164" fontId="29" fillId="3" borderId="1" xfId="1" applyNumberFormat="1" applyFont="1" applyFill="1" applyBorder="1" applyAlignment="1">
      <alignment wrapText="1"/>
    </xf>
    <xf numFmtId="164" fontId="19" fillId="3" borderId="1" xfId="1" applyNumberFormat="1" applyFont="1" applyFill="1" applyBorder="1" applyAlignment="1">
      <alignment wrapText="1"/>
    </xf>
    <xf numFmtId="164" fontId="19" fillId="3" borderId="1" xfId="1" applyNumberFormat="1" applyFont="1" applyFill="1" applyBorder="1" applyAlignment="1">
      <alignment horizontal="right"/>
    </xf>
    <xf numFmtId="164" fontId="37" fillId="3" borderId="1" xfId="1" applyNumberFormat="1" applyFont="1" applyFill="1" applyBorder="1" applyAlignment="1">
      <alignment horizontal="right"/>
    </xf>
    <xf numFmtId="164" fontId="37" fillId="3" borderId="1" xfId="1" applyNumberFormat="1" applyFont="1" applyFill="1" applyBorder="1" applyAlignment="1">
      <alignment wrapText="1"/>
    </xf>
    <xf numFmtId="164" fontId="26" fillId="3" borderId="1" xfId="1" applyNumberFormat="1" applyFont="1" applyFill="1" applyBorder="1" applyAlignment="1">
      <alignment wrapText="1"/>
    </xf>
    <xf numFmtId="164" fontId="29" fillId="3" borderId="1" xfId="1" applyNumberFormat="1" applyFont="1" applyFill="1" applyBorder="1"/>
    <xf numFmtId="164" fontId="38" fillId="2" borderId="1" xfId="1" applyNumberFormat="1" applyFont="1" applyFill="1" applyBorder="1"/>
    <xf numFmtId="164" fontId="32" fillId="3" borderId="1" xfId="1" applyNumberFormat="1" applyFont="1" applyFill="1" applyBorder="1"/>
    <xf numFmtId="164" fontId="28" fillId="2" borderId="1" xfId="1" applyNumberFormat="1" applyFont="1" applyFill="1" applyBorder="1"/>
    <xf numFmtId="164" fontId="29" fillId="2" borderId="1" xfId="1" applyNumberFormat="1" applyFont="1" applyFill="1" applyBorder="1" applyAlignment="1">
      <alignment wrapText="1"/>
    </xf>
    <xf numFmtId="164" fontId="28" fillId="3" borderId="1" xfId="1" applyNumberFormat="1" applyFont="1" applyFill="1" applyBorder="1" applyAlignment="1">
      <alignment wrapText="1"/>
    </xf>
    <xf numFmtId="164" fontId="38" fillId="3" borderId="1" xfId="1" applyNumberFormat="1" applyFont="1" applyFill="1" applyBorder="1" applyAlignment="1">
      <alignment wrapText="1"/>
    </xf>
    <xf numFmtId="164" fontId="26" fillId="3" borderId="1" xfId="1" applyNumberFormat="1" applyFont="1" applyFill="1" applyBorder="1"/>
    <xf numFmtId="164" fontId="38" fillId="3" borderId="1" xfId="1" applyNumberFormat="1" applyFont="1" applyFill="1" applyBorder="1"/>
    <xf numFmtId="164" fontId="38" fillId="3" borderId="1" xfId="1" applyNumberFormat="1" applyFont="1" applyFill="1" applyBorder="1" applyAlignment="1">
      <alignment horizontal="right" wrapText="1"/>
    </xf>
    <xf numFmtId="164" fontId="37" fillId="3" borderId="1" xfId="1" applyNumberFormat="1" applyFont="1" applyFill="1" applyBorder="1"/>
    <xf numFmtId="164" fontId="38" fillId="3" borderId="1" xfId="1" applyNumberFormat="1" applyFont="1" applyFill="1" applyBorder="1" applyAlignment="1">
      <alignment horizontal="right"/>
    </xf>
    <xf numFmtId="164" fontId="39" fillId="3" borderId="1" xfId="1" applyNumberFormat="1" applyFont="1" applyFill="1" applyBorder="1" applyAlignment="1">
      <alignment wrapText="1"/>
    </xf>
    <xf numFmtId="164" fontId="28" fillId="3" borderId="1" xfId="1" applyNumberFormat="1" applyFont="1" applyFill="1" applyBorder="1" applyAlignment="1">
      <alignment horizontal="center"/>
    </xf>
    <xf numFmtId="0" fontId="37" fillId="3" borderId="1" xfId="0" applyFont="1" applyFill="1" applyBorder="1"/>
    <xf numFmtId="164" fontId="31" fillId="3" borderId="1" xfId="1" applyNumberFormat="1" applyFont="1" applyFill="1" applyBorder="1" applyAlignment="1">
      <alignment wrapText="1"/>
    </xf>
    <xf numFmtId="164" fontId="37" fillId="0" borderId="1" xfId="1" applyNumberFormat="1" applyFont="1" applyBorder="1" applyAlignment="1">
      <alignment wrapText="1"/>
    </xf>
    <xf numFmtId="164" fontId="38" fillId="0" borderId="1" xfId="1" applyNumberFormat="1" applyFont="1" applyBorder="1" applyAlignment="1">
      <alignment wrapText="1"/>
    </xf>
    <xf numFmtId="164" fontId="28" fillId="0" borderId="1" xfId="1" applyNumberFormat="1" applyFont="1" applyBorder="1" applyAlignment="1">
      <alignment horizontal="center" wrapText="1"/>
    </xf>
    <xf numFmtId="164" fontId="38" fillId="0" borderId="1" xfId="1" applyNumberFormat="1" applyFont="1" applyBorder="1"/>
    <xf numFmtId="164" fontId="40" fillId="0" borderId="1" xfId="1" applyNumberFormat="1" applyFont="1" applyBorder="1" applyAlignment="1">
      <alignment wrapText="1"/>
    </xf>
    <xf numFmtId="164" fontId="39" fillId="0" borderId="1" xfId="1" applyNumberFormat="1" applyFont="1" applyBorder="1" applyAlignment="1">
      <alignment wrapText="1"/>
    </xf>
    <xf numFmtId="164" fontId="26" fillId="0" borderId="1" xfId="1" applyNumberFormat="1" applyFont="1" applyBorder="1" applyAlignment="1">
      <alignment wrapText="1"/>
    </xf>
    <xf numFmtId="164" fontId="29" fillId="6" borderId="1" xfId="1" applyNumberFormat="1" applyFont="1" applyFill="1" applyBorder="1" applyAlignment="1">
      <alignment wrapText="1"/>
    </xf>
    <xf numFmtId="49" fontId="38" fillId="3" borderId="1" xfId="0" applyNumberFormat="1" applyFont="1" applyFill="1" applyBorder="1" applyAlignment="1">
      <alignment wrapText="1"/>
    </xf>
    <xf numFmtId="49" fontId="29" fillId="3" borderId="1" xfId="0" applyNumberFormat="1" applyFont="1" applyFill="1" applyBorder="1" applyAlignment="1">
      <alignment wrapText="1"/>
    </xf>
    <xf numFmtId="49" fontId="29" fillId="3" borderId="1" xfId="1" applyNumberFormat="1" applyFont="1" applyFill="1" applyBorder="1" applyAlignment="1">
      <alignment wrapText="1"/>
    </xf>
    <xf numFmtId="49" fontId="19" fillId="3" borderId="1" xfId="1" applyNumberFormat="1" applyFont="1" applyFill="1" applyBorder="1" applyAlignment="1">
      <alignment horizontal="left" wrapText="1"/>
    </xf>
    <xf numFmtId="49" fontId="19" fillId="3" borderId="1" xfId="0" applyNumberFormat="1" applyFont="1" applyFill="1" applyBorder="1" applyAlignment="1">
      <alignment wrapText="1"/>
    </xf>
    <xf numFmtId="49" fontId="26" fillId="3" borderId="1" xfId="0" applyNumberFormat="1" applyFont="1" applyFill="1" applyBorder="1" applyAlignment="1">
      <alignment wrapText="1"/>
    </xf>
    <xf numFmtId="0" fontId="29" fillId="6" borderId="1" xfId="0" applyFont="1" applyFill="1" applyBorder="1" applyAlignment="1">
      <alignment wrapText="1"/>
    </xf>
    <xf numFmtId="49" fontId="37" fillId="3" borderId="1" xfId="0" applyNumberFormat="1" applyFont="1" applyFill="1" applyBorder="1" applyAlignment="1">
      <alignment wrapText="1"/>
    </xf>
    <xf numFmtId="49" fontId="41" fillId="3" borderId="1" xfId="0" applyNumberFormat="1" applyFont="1" applyFill="1" applyBorder="1" applyAlignment="1">
      <alignment wrapText="1"/>
    </xf>
    <xf numFmtId="0" fontId="29" fillId="3" borderId="1" xfId="0" applyFont="1" applyFill="1" applyBorder="1" applyAlignment="1">
      <alignment wrapText="1"/>
    </xf>
    <xf numFmtId="49" fontId="37" fillId="2" borderId="1" xfId="0" applyNumberFormat="1" applyFont="1" applyFill="1" applyBorder="1" applyAlignment="1">
      <alignment wrapText="1"/>
    </xf>
    <xf numFmtId="49" fontId="29" fillId="2" borderId="1" xfId="0" applyNumberFormat="1" applyFont="1" applyFill="1" applyBorder="1" applyAlignment="1">
      <alignment wrapText="1"/>
    </xf>
    <xf numFmtId="49" fontId="19" fillId="3" borderId="1" xfId="0" applyNumberFormat="1" applyFont="1" applyFill="1" applyBorder="1" applyAlignment="1">
      <alignment horizontal="left" wrapText="1"/>
    </xf>
    <xf numFmtId="49" fontId="40" fillId="3" borderId="1" xfId="0" applyNumberFormat="1" applyFont="1" applyFill="1" applyBorder="1" applyAlignment="1">
      <alignment wrapText="1"/>
    </xf>
    <xf numFmtId="49" fontId="19" fillId="0" borderId="1" xfId="0" applyNumberFormat="1" applyFont="1" applyBorder="1" applyAlignment="1">
      <alignment horizontal="left" wrapText="1"/>
    </xf>
    <xf numFmtId="49" fontId="29" fillId="0" borderId="1" xfId="0" applyNumberFormat="1" applyFont="1" applyBorder="1" applyAlignment="1">
      <alignment wrapText="1"/>
    </xf>
    <xf numFmtId="166" fontId="19" fillId="0" borderId="1" xfId="0" applyNumberFormat="1" applyFont="1" applyBorder="1" applyAlignment="1">
      <alignment horizontal="left" wrapText="1"/>
    </xf>
    <xf numFmtId="49" fontId="29" fillId="9" borderId="1" xfId="0" applyNumberFormat="1" applyFont="1" applyFill="1" applyBorder="1" applyAlignment="1">
      <alignment wrapText="1"/>
    </xf>
    <xf numFmtId="0" fontId="0" fillId="0" borderId="1" xfId="0" applyBorder="1"/>
    <xf numFmtId="0" fontId="0" fillId="0" borderId="1" xfId="0" applyBorder="1"/>
    <xf numFmtId="0" fontId="0" fillId="0" borderId="1" xfId="0" applyBorder="1"/>
    <xf numFmtId="164" fontId="29" fillId="0" borderId="1" xfId="1" applyNumberFormat="1" applyFont="1" applyFill="1" applyBorder="1" applyAlignment="1">
      <alignment wrapText="1"/>
    </xf>
    <xf numFmtId="49" fontId="26" fillId="0" borderId="1" xfId="0" applyNumberFormat="1" applyFont="1" applyFill="1" applyBorder="1" applyAlignment="1">
      <alignment wrapText="1"/>
    </xf>
    <xf numFmtId="0" fontId="12" fillId="0" borderId="1" xfId="0" applyFont="1" applyFill="1" applyBorder="1"/>
    <xf numFmtId="0" fontId="0" fillId="0" borderId="1" xfId="0" applyBorder="1"/>
    <xf numFmtId="0" fontId="0" fillId="0" borderId="1" xfId="0" applyBorder="1"/>
    <xf numFmtId="0" fontId="29" fillId="3" borderId="0" xfId="0" applyFont="1" applyFill="1" applyAlignment="1">
      <alignment wrapText="1"/>
    </xf>
    <xf numFmtId="0" fontId="19" fillId="0" borderId="0" xfId="0" applyFont="1" applyAlignment="1">
      <alignment wrapText="1"/>
    </xf>
    <xf numFmtId="164" fontId="1" fillId="10" borderId="1" xfId="1" applyNumberFormat="1" applyFill="1" applyBorder="1" applyAlignment="1">
      <alignment wrapText="1"/>
    </xf>
    <xf numFmtId="164" fontId="11" fillId="10" borderId="1" xfId="1" applyNumberFormat="1" applyFont="1" applyFill="1" applyBorder="1" applyAlignment="1">
      <alignment wrapText="1"/>
    </xf>
    <xf numFmtId="164" fontId="1" fillId="11" borderId="1" xfId="1" applyNumberFormat="1" applyFill="1" applyBorder="1" applyAlignment="1">
      <alignment wrapText="1"/>
    </xf>
    <xf numFmtId="49" fontId="41" fillId="3" borderId="1" xfId="0" applyNumberFormat="1" applyFont="1" applyFill="1" applyBorder="1" applyAlignment="1">
      <alignment horizontal="left" wrapText="1"/>
    </xf>
    <xf numFmtId="0" fontId="19" fillId="0" borderId="1" xfId="0" applyFont="1" applyFill="1" applyBorder="1" applyAlignment="1">
      <alignment wrapText="1"/>
    </xf>
    <xf numFmtId="0" fontId="19" fillId="0" borderId="0" xfId="0" applyFont="1" applyFill="1" applyAlignment="1">
      <alignment wrapText="1"/>
    </xf>
    <xf numFmtId="0" fontId="26" fillId="0" borderId="1" xfId="0" applyFont="1" applyFill="1" applyBorder="1" applyAlignment="1">
      <alignment wrapText="1"/>
    </xf>
    <xf numFmtId="0" fontId="26" fillId="0" borderId="0" xfId="0" applyFont="1" applyAlignment="1">
      <alignment wrapText="1"/>
    </xf>
    <xf numFmtId="0" fontId="0" fillId="0" borderId="1" xfId="0" applyBorder="1"/>
    <xf numFmtId="0" fontId="41" fillId="3" borderId="1" xfId="0" applyFont="1" applyFill="1" applyBorder="1" applyAlignment="1">
      <alignment wrapText="1"/>
    </xf>
    <xf numFmtId="49" fontId="26" fillId="0" borderId="1" xfId="0" applyNumberFormat="1" applyFont="1" applyBorder="1" applyAlignment="1">
      <alignment wrapText="1"/>
    </xf>
    <xf numFmtId="0" fontId="0" fillId="0" borderId="1" xfId="0" applyBorder="1"/>
    <xf numFmtId="164" fontId="38" fillId="9" borderId="1" xfId="1" applyNumberFormat="1" applyFont="1" applyFill="1" applyBorder="1" applyAlignment="1">
      <alignment wrapText="1"/>
    </xf>
    <xf numFmtId="6" fontId="38" fillId="0" borderId="1" xfId="0" applyNumberFormat="1" applyFont="1" applyBorder="1" applyAlignment="1">
      <alignment wrapText="1"/>
    </xf>
    <xf numFmtId="0" fontId="38" fillId="0" borderId="1" xfId="0" applyFont="1" applyBorder="1" applyAlignment="1">
      <alignment wrapText="1"/>
    </xf>
    <xf numFmtId="0" fontId="37" fillId="0" borderId="1" xfId="0" applyFont="1" applyBorder="1" applyAlignment="1">
      <alignment wrapText="1"/>
    </xf>
    <xf numFmtId="0" fontId="37" fillId="3" borderId="1" xfId="0" applyFont="1" applyFill="1" applyBorder="1" applyAlignment="1">
      <alignment wrapText="1"/>
    </xf>
    <xf numFmtId="0" fontId="37" fillId="0" borderId="1" xfId="0" applyFont="1" applyFill="1" applyBorder="1" applyAlignment="1">
      <alignment wrapText="1"/>
    </xf>
    <xf numFmtId="164" fontId="29" fillId="5" borderId="1" xfId="1" applyNumberFormat="1" applyFont="1" applyFill="1" applyBorder="1" applyAlignment="1">
      <alignment horizontal="center" wrapText="1"/>
    </xf>
    <xf numFmtId="49" fontId="38" fillId="5" borderId="1" xfId="0" applyNumberFormat="1" applyFont="1" applyFill="1" applyBorder="1" applyAlignment="1">
      <alignment wrapText="1"/>
    </xf>
    <xf numFmtId="0" fontId="29" fillId="5" borderId="1" xfId="0" applyFont="1" applyFill="1" applyBorder="1" applyAlignment="1">
      <alignment wrapText="1"/>
    </xf>
    <xf numFmtId="6" fontId="38" fillId="16" borderId="1" xfId="0" applyNumberFormat="1" applyFont="1" applyFill="1" applyBorder="1" applyAlignment="1">
      <alignment wrapText="1"/>
    </xf>
    <xf numFmtId="6" fontId="29" fillId="16" borderId="1" xfId="0" applyNumberFormat="1" applyFont="1" applyFill="1" applyBorder="1" applyAlignment="1">
      <alignment wrapText="1"/>
    </xf>
    <xf numFmtId="6" fontId="19" fillId="16" borderId="1" xfId="0" applyNumberFormat="1" applyFont="1" applyFill="1" applyBorder="1" applyAlignment="1">
      <alignment wrapText="1"/>
    </xf>
    <xf numFmtId="6" fontId="37" fillId="16" borderId="1" xfId="0" applyNumberFormat="1" applyFont="1" applyFill="1" applyBorder="1" applyAlignment="1">
      <alignment wrapText="1"/>
    </xf>
    <xf numFmtId="6" fontId="26" fillId="16" borderId="1" xfId="0" applyNumberFormat="1" applyFont="1" applyFill="1" applyBorder="1" applyAlignment="1">
      <alignment wrapText="1"/>
    </xf>
    <xf numFmtId="6" fontId="32" fillId="16" borderId="1" xfId="0" applyNumberFormat="1" applyFont="1" applyFill="1" applyBorder="1" applyAlignment="1">
      <alignment wrapText="1"/>
    </xf>
    <xf numFmtId="6" fontId="28" fillId="16" borderId="1" xfId="0" applyNumberFormat="1" applyFont="1" applyFill="1" applyBorder="1" applyAlignment="1">
      <alignment wrapText="1"/>
    </xf>
    <xf numFmtId="0" fontId="26" fillId="0" borderId="1" xfId="0" applyFont="1" applyBorder="1" applyAlignment="1">
      <alignment wrapText="1"/>
    </xf>
    <xf numFmtId="0" fontId="32" fillId="0" borderId="1" xfId="0" applyFont="1" applyBorder="1" applyAlignment="1">
      <alignment wrapText="1"/>
    </xf>
    <xf numFmtId="5" fontId="29" fillId="0" borderId="1" xfId="0" applyNumberFormat="1" applyFont="1" applyBorder="1" applyAlignment="1">
      <alignment wrapText="1"/>
    </xf>
    <xf numFmtId="5" fontId="38" fillId="18" borderId="1" xfId="0" applyNumberFormat="1" applyFont="1" applyFill="1" applyBorder="1" applyAlignment="1">
      <alignment wrapText="1"/>
    </xf>
    <xf numFmtId="5" fontId="29" fillId="18" borderId="1" xfId="0" applyNumberFormat="1" applyFont="1" applyFill="1" applyBorder="1" applyAlignment="1">
      <alignment wrapText="1"/>
    </xf>
    <xf numFmtId="5" fontId="19" fillId="18" borderId="1" xfId="0" applyNumberFormat="1" applyFont="1" applyFill="1" applyBorder="1" applyAlignment="1">
      <alignment wrapText="1"/>
    </xf>
    <xf numFmtId="5" fontId="41" fillId="18" borderId="1" xfId="0" applyNumberFormat="1" applyFont="1" applyFill="1" applyBorder="1" applyAlignment="1">
      <alignment wrapText="1"/>
    </xf>
    <xf numFmtId="5" fontId="26" fillId="18" borderId="1" xfId="0" applyNumberFormat="1" applyFont="1" applyFill="1" applyBorder="1" applyAlignment="1">
      <alignment wrapText="1"/>
    </xf>
    <xf numFmtId="6" fontId="29" fillId="18" borderId="1" xfId="0" applyNumberFormat="1" applyFont="1" applyFill="1" applyBorder="1" applyAlignment="1">
      <alignment wrapText="1"/>
    </xf>
    <xf numFmtId="5" fontId="31" fillId="18" borderId="1" xfId="0" applyNumberFormat="1" applyFont="1" applyFill="1" applyBorder="1" applyAlignment="1">
      <alignment wrapText="1"/>
    </xf>
    <xf numFmtId="49" fontId="36" fillId="0" borderId="1" xfId="0" applyNumberFormat="1" applyFont="1" applyBorder="1" applyAlignment="1">
      <alignment horizontal="center" wrapText="1"/>
    </xf>
    <xf numFmtId="164" fontId="28" fillId="10" borderId="1" xfId="1" applyNumberFormat="1" applyFont="1" applyFill="1" applyBorder="1" applyAlignment="1">
      <alignment horizontal="center" wrapText="1"/>
    </xf>
    <xf numFmtId="164" fontId="28" fillId="11" borderId="1" xfId="1" applyNumberFormat="1" applyFont="1" applyFill="1" applyBorder="1" applyAlignment="1">
      <alignment horizontal="center" wrapText="1"/>
    </xf>
    <xf numFmtId="49" fontId="31" fillId="5" borderId="1" xfId="0" applyNumberFormat="1" applyFont="1" applyFill="1" applyBorder="1"/>
    <xf numFmtId="164" fontId="29" fillId="11" borderId="1" xfId="1" applyNumberFormat="1" applyFont="1" applyFill="1" applyBorder="1" applyAlignment="1">
      <alignment horizontal="center" wrapText="1"/>
    </xf>
    <xf numFmtId="49" fontId="31" fillId="0" borderId="1" xfId="0" applyNumberFormat="1" applyFont="1" applyBorder="1"/>
    <xf numFmtId="49" fontId="36" fillId="0" borderId="1" xfId="0" applyNumberFormat="1" applyFont="1" applyBorder="1" applyAlignment="1">
      <alignment horizontal="center"/>
    </xf>
    <xf numFmtId="49" fontId="19" fillId="0" borderId="1" xfId="0" applyNumberFormat="1" applyFont="1" applyBorder="1" applyAlignment="1">
      <alignment horizontal="left"/>
    </xf>
    <xf numFmtId="3" fontId="29" fillId="10" borderId="1" xfId="0" applyNumberFormat="1" applyFont="1" applyFill="1" applyBorder="1"/>
    <xf numFmtId="164" fontId="29" fillId="11" borderId="1" xfId="1" applyNumberFormat="1" applyFont="1" applyFill="1" applyBorder="1" applyAlignment="1">
      <alignment wrapText="1"/>
    </xf>
    <xf numFmtId="164" fontId="29" fillId="10" borderId="1" xfId="1" applyNumberFormat="1" applyFont="1" applyFill="1" applyBorder="1" applyAlignment="1">
      <alignment wrapText="1"/>
    </xf>
    <xf numFmtId="49" fontId="31" fillId="0" borderId="1" xfId="0" applyNumberFormat="1" applyFont="1" applyBorder="1" applyAlignment="1">
      <alignment horizontal="left"/>
    </xf>
    <xf numFmtId="49" fontId="27" fillId="0" borderId="1" xfId="0" applyNumberFormat="1" applyFont="1" applyBorder="1" applyAlignment="1">
      <alignment horizontal="left"/>
    </xf>
    <xf numFmtId="49" fontId="31" fillId="3" borderId="1" xfId="0" applyNumberFormat="1" applyFont="1" applyFill="1" applyBorder="1" applyAlignment="1">
      <alignment horizontal="left"/>
    </xf>
    <xf numFmtId="0" fontId="29" fillId="3" borderId="1" xfId="0" applyFont="1" applyFill="1" applyBorder="1"/>
    <xf numFmtId="49" fontId="19" fillId="3" borderId="1" xfId="0" applyNumberFormat="1" applyFont="1" applyFill="1" applyBorder="1" applyAlignment="1">
      <alignment horizontal="left"/>
    </xf>
    <xf numFmtId="6" fontId="45" fillId="11" borderId="1" xfId="0" applyNumberFormat="1" applyFont="1" applyFill="1" applyBorder="1"/>
    <xf numFmtId="164" fontId="19" fillId="10" borderId="1" xfId="1" applyNumberFormat="1" applyFont="1" applyFill="1" applyBorder="1" applyAlignment="1">
      <alignment wrapText="1"/>
    </xf>
    <xf numFmtId="164" fontId="19" fillId="10" borderId="1" xfId="1" applyNumberFormat="1" applyFont="1" applyFill="1" applyBorder="1" applyAlignment="1">
      <alignment horizontal="right"/>
    </xf>
    <xf numFmtId="49" fontId="37" fillId="3" borderId="1" xfId="0" applyNumberFormat="1" applyFont="1" applyFill="1" applyBorder="1" applyAlignment="1">
      <alignment horizontal="left"/>
    </xf>
    <xf numFmtId="164" fontId="37" fillId="10" borderId="1" xfId="1" applyNumberFormat="1" applyFont="1" applyFill="1" applyBorder="1" applyAlignment="1">
      <alignment horizontal="right"/>
    </xf>
    <xf numFmtId="164" fontId="37" fillId="11" borderId="1" xfId="1" applyNumberFormat="1" applyFont="1" applyFill="1" applyBorder="1" applyAlignment="1">
      <alignment horizontal="right"/>
    </xf>
    <xf numFmtId="164" fontId="29" fillId="16" borderId="1" xfId="1" applyNumberFormat="1" applyFont="1" applyFill="1" applyBorder="1" applyAlignment="1">
      <alignment wrapText="1"/>
    </xf>
    <xf numFmtId="49" fontId="46" fillId="0" borderId="1" xfId="0" applyNumberFormat="1" applyFont="1" applyBorder="1" applyAlignment="1">
      <alignment horizontal="left"/>
    </xf>
    <xf numFmtId="49" fontId="37" fillId="0" borderId="1" xfId="0" applyNumberFormat="1" applyFont="1" applyBorder="1" applyAlignment="1">
      <alignment horizontal="left"/>
    </xf>
    <xf numFmtId="164" fontId="37" fillId="10" borderId="1" xfId="1" applyNumberFormat="1" applyFont="1" applyFill="1" applyBorder="1" applyAlignment="1">
      <alignment wrapText="1"/>
    </xf>
    <xf numFmtId="164" fontId="37" fillId="11" borderId="1" xfId="1" applyNumberFormat="1" applyFont="1" applyFill="1" applyBorder="1" applyAlignment="1">
      <alignment wrapText="1"/>
    </xf>
    <xf numFmtId="49" fontId="26" fillId="3" borderId="1" xfId="0" applyNumberFormat="1" applyFont="1" applyFill="1" applyBorder="1" applyAlignment="1">
      <alignment horizontal="left"/>
    </xf>
    <xf numFmtId="164" fontId="26" fillId="10" borderId="1" xfId="1" applyNumberFormat="1" applyFont="1" applyFill="1" applyBorder="1" applyAlignment="1">
      <alignment wrapText="1"/>
    </xf>
    <xf numFmtId="49" fontId="46" fillId="3" borderId="1" xfId="0" applyNumberFormat="1" applyFont="1" applyFill="1" applyBorder="1" applyAlignment="1">
      <alignment horizontal="left"/>
    </xf>
    <xf numFmtId="164" fontId="26" fillId="11" borderId="1" xfId="1" applyNumberFormat="1" applyFont="1" applyFill="1" applyBorder="1" applyAlignment="1">
      <alignment wrapText="1"/>
    </xf>
    <xf numFmtId="164" fontId="19" fillId="11" borderId="1" xfId="1" applyNumberFormat="1" applyFont="1" applyFill="1" applyBorder="1" applyAlignment="1">
      <alignment horizontal="right"/>
    </xf>
    <xf numFmtId="164" fontId="29" fillId="11" borderId="1" xfId="0" applyNumberFormat="1" applyFont="1" applyFill="1" applyBorder="1" applyAlignment="1">
      <alignment wrapText="1"/>
    </xf>
    <xf numFmtId="6" fontId="19" fillId="12" borderId="1" xfId="0" applyNumberFormat="1" applyFont="1" applyFill="1" applyBorder="1" applyAlignment="1">
      <alignment wrapText="1"/>
    </xf>
    <xf numFmtId="6" fontId="19" fillId="14" borderId="1" xfId="0" applyNumberFormat="1" applyFont="1" applyFill="1" applyBorder="1" applyAlignment="1">
      <alignment wrapText="1"/>
    </xf>
    <xf numFmtId="6" fontId="19" fillId="17" borderId="1" xfId="0" applyNumberFormat="1" applyFont="1" applyFill="1" applyBorder="1" applyAlignment="1">
      <alignment wrapText="1"/>
    </xf>
    <xf numFmtId="164" fontId="29" fillId="15" borderId="1" xfId="1" applyNumberFormat="1" applyFont="1" applyFill="1" applyBorder="1" applyAlignment="1">
      <alignment wrapText="1"/>
    </xf>
    <xf numFmtId="0" fontId="29" fillId="0" borderId="0" xfId="0" applyFont="1" applyAlignment="1">
      <alignment vertical="center" wrapText="1"/>
    </xf>
    <xf numFmtId="0" fontId="19" fillId="14" borderId="1" xfId="0" applyFont="1" applyFill="1" applyBorder="1" applyAlignment="1">
      <alignment wrapText="1"/>
    </xf>
    <xf numFmtId="49" fontId="42" fillId="0" borderId="1" xfId="0" applyNumberFormat="1" applyFont="1" applyBorder="1" applyAlignment="1">
      <alignment horizontal="right"/>
    </xf>
    <xf numFmtId="49" fontId="42" fillId="0" borderId="1" xfId="0" applyNumberFormat="1" applyFont="1" applyBorder="1" applyAlignment="1">
      <alignment horizontal="left" wrapText="1"/>
    </xf>
    <xf numFmtId="164" fontId="29" fillId="10" borderId="1" xfId="1" applyNumberFormat="1" applyFont="1" applyFill="1" applyBorder="1"/>
    <xf numFmtId="164" fontId="29" fillId="11" borderId="1" xfId="1" applyNumberFormat="1" applyFont="1" applyFill="1" applyBorder="1"/>
    <xf numFmtId="0" fontId="29" fillId="0" borderId="0" xfId="0" applyFont="1" applyAlignment="1">
      <alignment wrapText="1"/>
    </xf>
    <xf numFmtId="49" fontId="37" fillId="0" borderId="1" xfId="0" applyNumberFormat="1" applyFont="1" applyFill="1" applyBorder="1" applyAlignment="1">
      <alignment horizontal="left"/>
    </xf>
    <xf numFmtId="49" fontId="26" fillId="0" borderId="1" xfId="0" applyNumberFormat="1" applyFont="1" applyFill="1" applyBorder="1" applyAlignment="1">
      <alignment horizontal="left"/>
    </xf>
    <xf numFmtId="0" fontId="29" fillId="2" borderId="1" xfId="0" applyFont="1" applyFill="1" applyBorder="1"/>
    <xf numFmtId="49" fontId="36" fillId="2" borderId="1" xfId="0" applyNumberFormat="1" applyFont="1" applyFill="1" applyBorder="1" applyAlignment="1">
      <alignment horizontal="right"/>
    </xf>
    <xf numFmtId="164" fontId="38" fillId="10" borderId="1" xfId="1" applyNumberFormat="1" applyFont="1" applyFill="1" applyBorder="1"/>
    <xf numFmtId="164" fontId="38" fillId="11" borderId="1" xfId="1" applyNumberFormat="1" applyFont="1" applyFill="1" applyBorder="1"/>
    <xf numFmtId="49" fontId="36" fillId="0" borderId="1" xfId="0" applyNumberFormat="1" applyFont="1" applyBorder="1" applyAlignment="1">
      <alignment horizontal="left"/>
    </xf>
    <xf numFmtId="49" fontId="36" fillId="0" borderId="1" xfId="0" applyNumberFormat="1" applyFont="1" applyBorder="1"/>
    <xf numFmtId="164" fontId="32" fillId="10" borderId="1" xfId="1" applyNumberFormat="1" applyFont="1" applyFill="1" applyBorder="1"/>
    <xf numFmtId="164" fontId="32" fillId="11" borderId="1" xfId="1" applyNumberFormat="1" applyFont="1" applyFill="1" applyBorder="1"/>
    <xf numFmtId="164" fontId="32" fillId="11" borderId="1" xfId="1" applyNumberFormat="1" applyFont="1" applyFill="1" applyBorder="1" applyAlignment="1">
      <alignment wrapText="1"/>
    </xf>
    <xf numFmtId="49" fontId="19" fillId="2" borderId="1" xfId="0" applyNumberFormat="1" applyFont="1" applyFill="1" applyBorder="1" applyAlignment="1">
      <alignment horizontal="left"/>
    </xf>
    <xf numFmtId="164" fontId="28" fillId="10" borderId="1" xfId="1" applyNumberFormat="1" applyFont="1" applyFill="1" applyBorder="1"/>
    <xf numFmtId="164" fontId="28" fillId="11" borderId="1" xfId="1" applyNumberFormat="1" applyFont="1" applyFill="1" applyBorder="1"/>
    <xf numFmtId="49" fontId="29" fillId="0" borderId="1" xfId="0" applyNumberFormat="1" applyFont="1" applyBorder="1" applyAlignment="1">
      <alignment horizontal="left"/>
    </xf>
    <xf numFmtId="49" fontId="27" fillId="2" borderId="1" xfId="0" applyNumberFormat="1" applyFont="1" applyFill="1" applyBorder="1"/>
    <xf numFmtId="0" fontId="27" fillId="3" borderId="1" xfId="0" applyFont="1" applyFill="1" applyBorder="1"/>
    <xf numFmtId="49" fontId="36" fillId="3" borderId="1" xfId="0" applyNumberFormat="1" applyFont="1" applyFill="1" applyBorder="1" applyAlignment="1">
      <alignment horizontal="center"/>
    </xf>
    <xf numFmtId="0" fontId="29" fillId="10" borderId="1" xfId="0" applyFont="1" applyFill="1" applyBorder="1"/>
    <xf numFmtId="0" fontId="46" fillId="0" borderId="1" xfId="0" applyFont="1" applyBorder="1" applyAlignment="1">
      <alignment horizontal="right"/>
    </xf>
    <xf numFmtId="164" fontId="38" fillId="10" borderId="1" xfId="1" applyNumberFormat="1" applyFont="1" applyFill="1" applyBorder="1" applyAlignment="1">
      <alignment wrapText="1"/>
    </xf>
    <xf numFmtId="164" fontId="38" fillId="11" borderId="1" xfId="1" applyNumberFormat="1" applyFont="1" applyFill="1" applyBorder="1" applyAlignment="1">
      <alignment wrapText="1"/>
    </xf>
    <xf numFmtId="0" fontId="36" fillId="0" borderId="1" xfId="0" applyFont="1" applyBorder="1" applyAlignment="1">
      <alignment horizontal="right"/>
    </xf>
    <xf numFmtId="164" fontId="28" fillId="10" borderId="1" xfId="1" applyNumberFormat="1" applyFont="1" applyFill="1" applyBorder="1" applyAlignment="1">
      <alignment wrapText="1"/>
    </xf>
    <xf numFmtId="164" fontId="28" fillId="11" borderId="1" xfId="1" applyNumberFormat="1" applyFont="1" applyFill="1" applyBorder="1" applyAlignment="1">
      <alignment wrapText="1"/>
    </xf>
    <xf numFmtId="0" fontId="36" fillId="0" borderId="1" xfId="0" applyFont="1" applyBorder="1"/>
    <xf numFmtId="0" fontId="27" fillId="3" borderId="1" xfId="0" applyFont="1" applyFill="1" applyBorder="1" applyAlignment="1">
      <alignment horizontal="left"/>
    </xf>
    <xf numFmtId="6" fontId="29" fillId="11" borderId="0" xfId="0" applyNumberFormat="1" applyFont="1" applyFill="1"/>
    <xf numFmtId="49" fontId="36" fillId="0" borderId="1" xfId="0" applyNumberFormat="1" applyFont="1" applyBorder="1" applyAlignment="1">
      <alignment horizontal="right"/>
    </xf>
    <xf numFmtId="0" fontId="27" fillId="0" borderId="1" xfId="0" applyFont="1" applyBorder="1"/>
    <xf numFmtId="49" fontId="26" fillId="0" borderId="1" xfId="0" applyNumberFormat="1" applyFont="1" applyBorder="1" applyAlignment="1">
      <alignment horizontal="left"/>
    </xf>
    <xf numFmtId="49" fontId="47" fillId="3" borderId="1" xfId="0" applyNumberFormat="1" applyFont="1" applyFill="1" applyBorder="1" applyAlignment="1">
      <alignment horizontal="left"/>
    </xf>
    <xf numFmtId="164" fontId="26" fillId="10" borderId="1" xfId="1" applyNumberFormat="1" applyFont="1" applyFill="1" applyBorder="1"/>
    <xf numFmtId="164" fontId="40" fillId="11" borderId="1" xfId="1" applyNumberFormat="1" applyFont="1" applyFill="1" applyBorder="1" applyAlignment="1">
      <alignment wrapText="1"/>
    </xf>
    <xf numFmtId="49" fontId="26" fillId="3" borderId="1" xfId="0" applyNumberFormat="1" applyFont="1" applyFill="1" applyBorder="1" applyAlignment="1">
      <alignment horizontal="left" wrapText="1"/>
    </xf>
    <xf numFmtId="49" fontId="47" fillId="3" borderId="1" xfId="0" applyNumberFormat="1" applyFont="1" applyFill="1" applyBorder="1" applyAlignment="1">
      <alignment horizontal="left" wrapText="1"/>
    </xf>
    <xf numFmtId="0" fontId="36" fillId="3" borderId="1" xfId="0" applyFont="1" applyFill="1" applyBorder="1" applyAlignment="1">
      <alignment horizontal="right"/>
    </xf>
    <xf numFmtId="164" fontId="38" fillId="10" borderId="1" xfId="1" applyNumberFormat="1" applyFont="1" applyFill="1" applyBorder="1" applyAlignment="1">
      <alignment horizontal="right" wrapText="1"/>
    </xf>
    <xf numFmtId="164" fontId="38" fillId="11" borderId="1" xfId="1" applyNumberFormat="1" applyFont="1" applyFill="1" applyBorder="1" applyAlignment="1">
      <alignment horizontal="right" wrapText="1"/>
    </xf>
    <xf numFmtId="164" fontId="37" fillId="10" borderId="1" xfId="1" applyNumberFormat="1" applyFont="1" applyFill="1" applyBorder="1"/>
    <xf numFmtId="164" fontId="38" fillId="10" borderId="1" xfId="1" applyNumberFormat="1" applyFont="1" applyFill="1" applyBorder="1" applyAlignment="1">
      <alignment horizontal="right"/>
    </xf>
    <xf numFmtId="0" fontId="26" fillId="0" borderId="1" xfId="0" applyFont="1" applyBorder="1"/>
    <xf numFmtId="0" fontId="48" fillId="0" borderId="1" xfId="0" applyFont="1" applyBorder="1"/>
    <xf numFmtId="0" fontId="37" fillId="0" borderId="1" xfId="0" applyFont="1" applyBorder="1"/>
    <xf numFmtId="0" fontId="48" fillId="0" borderId="1" xfId="0" applyFont="1" applyBorder="1" applyAlignment="1">
      <alignment horizontal="right"/>
    </xf>
    <xf numFmtId="164" fontId="39" fillId="10" borderId="1" xfId="1" applyNumberFormat="1" applyFont="1" applyFill="1" applyBorder="1" applyAlignment="1">
      <alignment wrapText="1"/>
    </xf>
    <xf numFmtId="164" fontId="39" fillId="11" borderId="1" xfId="1" applyNumberFormat="1" applyFont="1" applyFill="1" applyBorder="1" applyAlignment="1">
      <alignment wrapText="1"/>
    </xf>
    <xf numFmtId="164" fontId="28" fillId="10" borderId="1" xfId="1" applyNumberFormat="1" applyFont="1" applyFill="1" applyBorder="1" applyAlignment="1">
      <alignment horizontal="center"/>
    </xf>
    <xf numFmtId="164" fontId="38" fillId="11" borderId="1" xfId="1" applyNumberFormat="1" applyFont="1" applyFill="1" applyBorder="1" applyAlignment="1">
      <alignment horizontal="right"/>
    </xf>
    <xf numFmtId="0" fontId="48" fillId="3" borderId="1" xfId="0" applyFont="1" applyFill="1" applyBorder="1"/>
    <xf numFmtId="0" fontId="37" fillId="10" borderId="1" xfId="0" applyFont="1" applyFill="1" applyBorder="1"/>
    <xf numFmtId="0" fontId="37" fillId="11" borderId="1" xfId="0" applyFont="1" applyFill="1" applyBorder="1"/>
    <xf numFmtId="0" fontId="48" fillId="3" borderId="1" xfId="0" applyFont="1" applyFill="1" applyBorder="1" applyAlignment="1">
      <alignment horizontal="right"/>
    </xf>
    <xf numFmtId="0" fontId="49" fillId="0" borderId="1" xfId="0" applyFont="1" applyBorder="1" applyAlignment="1">
      <alignment horizontal="right"/>
    </xf>
    <xf numFmtId="164" fontId="31" fillId="10" borderId="1" xfId="1" applyNumberFormat="1" applyFont="1" applyFill="1" applyBorder="1" applyAlignment="1">
      <alignment wrapText="1"/>
    </xf>
    <xf numFmtId="164" fontId="31" fillId="11" borderId="1" xfId="1" applyNumberFormat="1" applyFont="1" applyFill="1" applyBorder="1" applyAlignment="1">
      <alignment wrapText="1"/>
    </xf>
    <xf numFmtId="0" fontId="49" fillId="0" borderId="1" xfId="0" applyFont="1" applyBorder="1"/>
    <xf numFmtId="0" fontId="19" fillId="12" borderId="1" xfId="0" applyFont="1" applyFill="1" applyBorder="1" applyAlignment="1">
      <alignment wrapText="1"/>
    </xf>
    <xf numFmtId="0" fontId="19" fillId="13" borderId="1" xfId="0" applyFont="1" applyFill="1" applyBorder="1" applyAlignment="1">
      <alignment wrapText="1"/>
    </xf>
    <xf numFmtId="0" fontId="26" fillId="12" borderId="1" xfId="0" applyFont="1" applyFill="1" applyBorder="1" applyAlignment="1">
      <alignment wrapText="1"/>
    </xf>
    <xf numFmtId="6" fontId="26" fillId="13" borderId="1" xfId="0" applyNumberFormat="1" applyFont="1" applyFill="1" applyBorder="1" applyAlignment="1">
      <alignment wrapText="1"/>
    </xf>
    <xf numFmtId="0" fontId="26" fillId="13" borderId="1" xfId="0" applyFont="1" applyFill="1" applyBorder="1" applyAlignment="1">
      <alignment wrapText="1"/>
    </xf>
    <xf numFmtId="6" fontId="19" fillId="13" borderId="1" xfId="0" applyNumberFormat="1" applyFont="1" applyFill="1" applyBorder="1" applyAlignment="1">
      <alignment wrapText="1"/>
    </xf>
    <xf numFmtId="0" fontId="29" fillId="11" borderId="1" xfId="0" applyFont="1" applyFill="1" applyBorder="1" applyAlignment="1">
      <alignment wrapText="1"/>
    </xf>
    <xf numFmtId="0" fontId="49" fillId="3" borderId="1" xfId="0" applyFont="1" applyFill="1" applyBorder="1"/>
    <xf numFmtId="44" fontId="29" fillId="11" borderId="1" xfId="1" applyFont="1" applyFill="1" applyBorder="1" applyAlignment="1">
      <alignment wrapText="1"/>
    </xf>
    <xf numFmtId="0" fontId="46" fillId="0" borderId="1" xfId="0" applyFont="1" applyBorder="1"/>
    <xf numFmtId="164" fontId="38" fillId="11" borderId="1" xfId="1" applyNumberFormat="1" applyFont="1" applyFill="1" applyBorder="1" applyAlignment="1">
      <alignment horizontal="center" wrapText="1"/>
    </xf>
    <xf numFmtId="49" fontId="50" fillId="0" borderId="1" xfId="0" applyNumberFormat="1" applyFont="1" applyBorder="1" applyAlignment="1">
      <alignment horizontal="left"/>
    </xf>
    <xf numFmtId="164" fontId="40" fillId="10" borderId="1" xfId="1" applyNumberFormat="1" applyFont="1" applyFill="1" applyBorder="1" applyAlignment="1">
      <alignment wrapText="1"/>
    </xf>
    <xf numFmtId="0" fontId="51" fillId="0" borderId="1" xfId="0" applyFont="1" applyBorder="1"/>
    <xf numFmtId="49" fontId="37" fillId="0" borderId="1" xfId="0" applyNumberFormat="1" applyFont="1" applyBorder="1" applyAlignment="1">
      <alignment horizontal="center"/>
    </xf>
    <xf numFmtId="49" fontId="26" fillId="0" borderId="1" xfId="0" applyNumberFormat="1" applyFont="1" applyBorder="1" applyAlignment="1">
      <alignment horizontal="center"/>
    </xf>
    <xf numFmtId="49" fontId="43" fillId="0" borderId="1" xfId="0" applyNumberFormat="1" applyFont="1" applyBorder="1" applyAlignment="1">
      <alignment horizontal="left"/>
    </xf>
    <xf numFmtId="0" fontId="26" fillId="0" borderId="1" xfId="0" applyFont="1" applyBorder="1" applyAlignment="1">
      <alignment horizontal="left"/>
    </xf>
    <xf numFmtId="0" fontId="44" fillId="0" borderId="1" xfId="0" applyFont="1" applyBorder="1" applyAlignment="1">
      <alignment horizontal="right"/>
    </xf>
    <xf numFmtId="0" fontId="38" fillId="10" borderId="1" xfId="0" applyFont="1" applyFill="1" applyBorder="1"/>
    <xf numFmtId="49" fontId="29" fillId="2" borderId="1" xfId="0" applyNumberFormat="1" applyFont="1" applyFill="1" applyBorder="1" applyAlignment="1">
      <alignment horizontal="left"/>
    </xf>
    <xf numFmtId="0" fontId="38" fillId="2" borderId="1" xfId="0" applyFont="1" applyFill="1" applyBorder="1" applyAlignment="1">
      <alignment wrapText="1"/>
    </xf>
    <xf numFmtId="164" fontId="38" fillId="10" borderId="1" xfId="0" applyNumberFormat="1" applyFont="1" applyFill="1" applyBorder="1"/>
    <xf numFmtId="0" fontId="38" fillId="2" borderId="1" xfId="0" applyFont="1" applyFill="1" applyBorder="1"/>
    <xf numFmtId="0" fontId="29" fillId="9" borderId="1" xfId="0" applyFont="1" applyFill="1" applyBorder="1"/>
    <xf numFmtId="0" fontId="28" fillId="9" borderId="1" xfId="0" applyFont="1" applyFill="1" applyBorder="1" applyAlignment="1">
      <alignment horizontal="right"/>
    </xf>
    <xf numFmtId="49" fontId="24" fillId="7" borderId="1" xfId="0" applyNumberFormat="1" applyFont="1" applyFill="1" applyBorder="1" applyAlignment="1">
      <alignment horizontal="left" wrapText="1" indent="1"/>
    </xf>
    <xf numFmtId="0" fontId="0" fillId="7" borderId="1" xfId="0" applyFill="1" applyBorder="1" applyAlignment="1">
      <alignment horizontal="left" wrapText="1" indent="1"/>
    </xf>
    <xf numFmtId="49" fontId="30" fillId="0" borderId="1" xfId="0" applyNumberFormat="1" applyFont="1" applyBorder="1" applyAlignment="1">
      <alignment horizontal="right"/>
    </xf>
    <xf numFmtId="0" fontId="0" fillId="0" borderId="1" xfId="0" applyBorder="1"/>
    <xf numFmtId="49" fontId="19" fillId="8" borderId="1" xfId="0" applyNumberFormat="1" applyFont="1" applyFill="1" applyBorder="1" applyAlignment="1">
      <alignment horizontal="left" indent="2"/>
    </xf>
    <xf numFmtId="0" fontId="29" fillId="8" borderId="1" xfId="0" applyFont="1" applyFill="1" applyBorder="1" applyAlignment="1">
      <alignment horizontal="left"/>
    </xf>
    <xf numFmtId="0" fontId="3" fillId="0" borderId="5" xfId="0" applyFont="1" applyBorder="1" applyAlignment="1">
      <alignment horizontal="center" wrapText="1"/>
    </xf>
    <xf numFmtId="0" fontId="3" fillId="0" borderId="1" xfId="0" applyFont="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14" fontId="3" fillId="0" borderId="9" xfId="0" applyNumberFormat="1" applyFont="1" applyBorder="1" applyAlignment="1">
      <alignment horizontal="center"/>
    </xf>
    <xf numFmtId="14" fontId="3" fillId="0" borderId="10" xfId="0" applyNumberFormat="1" applyFont="1" applyBorder="1" applyAlignment="1">
      <alignment horizontal="center"/>
    </xf>
    <xf numFmtId="14" fontId="3" fillId="0" borderId="11" xfId="0" applyNumberFormat="1" applyFont="1" applyBorder="1" applyAlignment="1">
      <alignment horizontal="center"/>
    </xf>
    <xf numFmtId="14" fontId="3" fillId="0" borderId="12" xfId="0" applyNumberFormat="1" applyFont="1" applyBorder="1" applyAlignment="1">
      <alignment horizontal="center"/>
    </xf>
    <xf numFmtId="5" fontId="38" fillId="3" borderId="1" xfId="0" applyNumberFormat="1" applyFont="1" applyFill="1" applyBorder="1" applyAlignment="1">
      <alignment wrapText="1"/>
    </xf>
    <xf numFmtId="5" fontId="29" fillId="3" borderId="1" xfId="0" applyNumberFormat="1" applyFont="1" applyFill="1" applyBorder="1" applyAlignment="1">
      <alignment wrapText="1"/>
    </xf>
    <xf numFmtId="5" fontId="19" fillId="3" borderId="1" xfId="0" applyNumberFormat="1" applyFont="1" applyFill="1" applyBorder="1" applyAlignment="1">
      <alignment wrapText="1"/>
    </xf>
    <xf numFmtId="5" fontId="37" fillId="3" borderId="1" xfId="0" applyNumberFormat="1" applyFont="1" applyFill="1" applyBorder="1" applyAlignment="1">
      <alignment wrapText="1"/>
    </xf>
    <xf numFmtId="5" fontId="26" fillId="3" borderId="1" xfId="0" applyNumberFormat="1" applyFont="1" applyFill="1" applyBorder="1" applyAlignment="1">
      <alignment wrapText="1"/>
    </xf>
    <xf numFmtId="3" fontId="0" fillId="3" borderId="0" xfId="0" applyNumberFormat="1" applyFill="1"/>
    <xf numFmtId="5" fontId="31" fillId="3" borderId="1" xfId="0" applyNumberFormat="1" applyFont="1" applyFill="1" applyBorder="1" applyAlignment="1">
      <alignment wrapText="1"/>
    </xf>
  </cellXfs>
  <cellStyles count="3">
    <cellStyle name="Currency" xfId="1" builtinId="4"/>
    <cellStyle name="Hyperlink" xfId="2"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0</xdr:colOff>
      <xdr:row>169</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43200" y="335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41275</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2743200" y="3363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2743200" y="335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41275</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743200" y="3363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2743200" y="335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41275</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2743200" y="33632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168</xdr:row>
      <xdr:rowOff>0</xdr:rowOff>
    </xdr:from>
    <xdr:ext cx="184731" cy="264560"/>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2743200" y="33127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168</xdr:row>
      <xdr:rowOff>111760</xdr:rowOff>
    </xdr:from>
    <xdr:ext cx="184731" cy="26456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743200" y="3323971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208</xdr:row>
      <xdr:rowOff>0</xdr:rowOff>
    </xdr:from>
    <xdr:ext cx="184731" cy="264560"/>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2743200" y="418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208</xdr:row>
      <xdr:rowOff>0</xdr:rowOff>
    </xdr:from>
    <xdr:ext cx="184731" cy="264560"/>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2743200" y="4185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2743200" y="42030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0</xdr:rowOff>
    </xdr:from>
    <xdr:ext cx="184731" cy="264560"/>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2743200" y="3376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84455</xdr:rowOff>
    </xdr:from>
    <xdr:ext cx="184731" cy="270859"/>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2743200" y="33853755"/>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0</xdr:rowOff>
    </xdr:from>
    <xdr:ext cx="184731" cy="264560"/>
    <xdr:sp macro="" textlink="">
      <xdr:nvSpPr>
        <xdr:cNvPr id="28" name="TextBox 27">
          <a:extLst>
            <a:ext uri="{FF2B5EF4-FFF2-40B4-BE49-F238E27FC236}">
              <a16:creationId xmlns:a16="http://schemas.microsoft.com/office/drawing/2014/main" id="{00000000-0008-0000-0000-00001C000000}"/>
            </a:ext>
          </a:extLst>
        </xdr:cNvPr>
        <xdr:cNvSpPr txBox="1"/>
      </xdr:nvSpPr>
      <xdr:spPr>
        <a:xfrm>
          <a:off x="2743200" y="3376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84455</xdr:rowOff>
    </xdr:from>
    <xdr:ext cx="184731" cy="270859"/>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2743200" y="33853755"/>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0</xdr:rowOff>
    </xdr:from>
    <xdr:ext cx="184731" cy="264560"/>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2743200" y="3376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84455</xdr:rowOff>
    </xdr:from>
    <xdr:ext cx="184731" cy="270859"/>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2743200" y="33853755"/>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0</xdr:rowOff>
    </xdr:from>
    <xdr:ext cx="184731" cy="264560"/>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2743200" y="3359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86360</xdr:rowOff>
    </xdr:from>
    <xdr:ext cx="184731" cy="270859"/>
    <xdr:sp macro="" textlink="">
      <xdr:nvSpPr>
        <xdr:cNvPr id="33" name="TextBox 32">
          <a:extLst>
            <a:ext uri="{FF2B5EF4-FFF2-40B4-BE49-F238E27FC236}">
              <a16:creationId xmlns:a16="http://schemas.microsoft.com/office/drawing/2014/main" id="{00000000-0008-0000-0000-000021000000}"/>
            </a:ext>
          </a:extLst>
        </xdr:cNvPr>
        <xdr:cNvSpPr txBox="1"/>
      </xdr:nvSpPr>
      <xdr:spPr>
        <a:xfrm>
          <a:off x="2743200" y="33677860"/>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0</xdr:rowOff>
    </xdr:from>
    <xdr:ext cx="184731" cy="264560"/>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2619375" y="3647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41275</xdr:rowOff>
    </xdr:from>
    <xdr:ext cx="184731" cy="264560"/>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2619375" y="365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0</xdr:rowOff>
    </xdr:from>
    <xdr:ext cx="184731" cy="264560"/>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2619375" y="3647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41275</xdr:rowOff>
    </xdr:from>
    <xdr:ext cx="184731" cy="264560"/>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2619375" y="365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0</xdr:rowOff>
    </xdr:from>
    <xdr:ext cx="184731" cy="264560"/>
    <xdr:sp macro="" textlink="">
      <xdr:nvSpPr>
        <xdr:cNvPr id="42" name="TextBox 41">
          <a:extLst>
            <a:ext uri="{FF2B5EF4-FFF2-40B4-BE49-F238E27FC236}">
              <a16:creationId xmlns:a16="http://schemas.microsoft.com/office/drawing/2014/main" id="{00000000-0008-0000-0000-00002A000000}"/>
            </a:ext>
          </a:extLst>
        </xdr:cNvPr>
        <xdr:cNvSpPr txBox="1"/>
      </xdr:nvSpPr>
      <xdr:spPr>
        <a:xfrm>
          <a:off x="2619375" y="3647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41275</xdr:rowOff>
    </xdr:from>
    <xdr:ext cx="184731" cy="264560"/>
    <xdr:sp macro="" textlink="">
      <xdr:nvSpPr>
        <xdr:cNvPr id="43" name="TextBox 42">
          <a:extLst>
            <a:ext uri="{FF2B5EF4-FFF2-40B4-BE49-F238E27FC236}">
              <a16:creationId xmlns:a16="http://schemas.microsoft.com/office/drawing/2014/main" id="{00000000-0008-0000-0000-00002B000000}"/>
            </a:ext>
          </a:extLst>
        </xdr:cNvPr>
        <xdr:cNvSpPr txBox="1"/>
      </xdr:nvSpPr>
      <xdr:spPr>
        <a:xfrm>
          <a:off x="2619375" y="36512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44" name="TextBox 43">
          <a:extLst>
            <a:ext uri="{FF2B5EF4-FFF2-40B4-BE49-F238E27FC236}">
              <a16:creationId xmlns:a16="http://schemas.microsoft.com/office/drawing/2014/main" id="{00000000-0008-0000-0000-00002C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45" name="TextBox 44">
          <a:extLst>
            <a:ext uri="{FF2B5EF4-FFF2-40B4-BE49-F238E27FC236}">
              <a16:creationId xmlns:a16="http://schemas.microsoft.com/office/drawing/2014/main" id="{00000000-0008-0000-0000-00002D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168</xdr:row>
      <xdr:rowOff>0</xdr:rowOff>
    </xdr:from>
    <xdr:ext cx="184731" cy="264560"/>
    <xdr:sp macro="" textlink="">
      <xdr:nvSpPr>
        <xdr:cNvPr id="46" name="TextBox 45">
          <a:extLst>
            <a:ext uri="{FF2B5EF4-FFF2-40B4-BE49-F238E27FC236}">
              <a16:creationId xmlns:a16="http://schemas.microsoft.com/office/drawing/2014/main" id="{00000000-0008-0000-0000-00002E000000}"/>
            </a:ext>
          </a:extLst>
        </xdr:cNvPr>
        <xdr:cNvSpPr txBox="1"/>
      </xdr:nvSpPr>
      <xdr:spPr>
        <a:xfrm>
          <a:off x="2619375" y="3600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168</xdr:row>
      <xdr:rowOff>111760</xdr:rowOff>
    </xdr:from>
    <xdr:ext cx="184731" cy="264560"/>
    <xdr:sp macro="" textlink="">
      <xdr:nvSpPr>
        <xdr:cNvPr id="47" name="TextBox 46">
          <a:extLst>
            <a:ext uri="{FF2B5EF4-FFF2-40B4-BE49-F238E27FC236}">
              <a16:creationId xmlns:a16="http://schemas.microsoft.com/office/drawing/2014/main" id="{00000000-0008-0000-0000-00002F000000}"/>
            </a:ext>
          </a:extLst>
        </xdr:cNvPr>
        <xdr:cNvSpPr txBox="1"/>
      </xdr:nvSpPr>
      <xdr:spPr>
        <a:xfrm>
          <a:off x="2619375" y="3611626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208</xdr:row>
      <xdr:rowOff>0</xdr:rowOff>
    </xdr:from>
    <xdr:ext cx="184731" cy="264560"/>
    <xdr:sp macro="" textlink="">
      <xdr:nvSpPr>
        <xdr:cNvPr id="48" name="TextBox 47">
          <a:extLst>
            <a:ext uri="{FF2B5EF4-FFF2-40B4-BE49-F238E27FC236}">
              <a16:creationId xmlns:a16="http://schemas.microsoft.com/office/drawing/2014/main" id="{00000000-0008-0000-0000-000030000000}"/>
            </a:ext>
          </a:extLst>
        </xdr:cNvPr>
        <xdr:cNvSpPr txBox="1"/>
      </xdr:nvSpPr>
      <xdr:spPr>
        <a:xfrm>
          <a:off x="2619375" y="456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208</xdr:row>
      <xdr:rowOff>0</xdr:rowOff>
    </xdr:from>
    <xdr:ext cx="184731" cy="264560"/>
    <xdr:sp macro="" textlink="">
      <xdr:nvSpPr>
        <xdr:cNvPr id="49" name="TextBox 48">
          <a:extLst>
            <a:ext uri="{FF2B5EF4-FFF2-40B4-BE49-F238E27FC236}">
              <a16:creationId xmlns:a16="http://schemas.microsoft.com/office/drawing/2014/main" id="{00000000-0008-0000-0000-000031000000}"/>
            </a:ext>
          </a:extLst>
        </xdr:cNvPr>
        <xdr:cNvSpPr txBox="1"/>
      </xdr:nvSpPr>
      <xdr:spPr>
        <a:xfrm>
          <a:off x="2619375" y="4560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0" name="TextBox 49">
          <a:extLst>
            <a:ext uri="{FF2B5EF4-FFF2-40B4-BE49-F238E27FC236}">
              <a16:creationId xmlns:a16="http://schemas.microsoft.com/office/drawing/2014/main" id="{00000000-0008-0000-0000-000032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1" name="TextBox 50">
          <a:extLst>
            <a:ext uri="{FF2B5EF4-FFF2-40B4-BE49-F238E27FC236}">
              <a16:creationId xmlns:a16="http://schemas.microsoft.com/office/drawing/2014/main" id="{00000000-0008-0000-0000-000033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2" name="TextBox 51">
          <a:extLst>
            <a:ext uri="{FF2B5EF4-FFF2-40B4-BE49-F238E27FC236}">
              <a16:creationId xmlns:a16="http://schemas.microsoft.com/office/drawing/2014/main" id="{00000000-0008-0000-0000-000034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3" name="TextBox 52">
          <a:extLst>
            <a:ext uri="{FF2B5EF4-FFF2-40B4-BE49-F238E27FC236}">
              <a16:creationId xmlns:a16="http://schemas.microsoft.com/office/drawing/2014/main" id="{00000000-0008-0000-0000-000035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4" name="TextBox 53">
          <a:extLst>
            <a:ext uri="{FF2B5EF4-FFF2-40B4-BE49-F238E27FC236}">
              <a16:creationId xmlns:a16="http://schemas.microsoft.com/office/drawing/2014/main" id="{00000000-0008-0000-0000-000036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5" name="TextBox 54">
          <a:extLst>
            <a:ext uri="{FF2B5EF4-FFF2-40B4-BE49-F238E27FC236}">
              <a16:creationId xmlns:a16="http://schemas.microsoft.com/office/drawing/2014/main" id="{00000000-0008-0000-0000-000037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6" name="TextBox 55">
          <a:extLst>
            <a:ext uri="{FF2B5EF4-FFF2-40B4-BE49-F238E27FC236}">
              <a16:creationId xmlns:a16="http://schemas.microsoft.com/office/drawing/2014/main" id="{00000000-0008-0000-0000-000038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209</xdr:row>
      <xdr:rowOff>0</xdr:rowOff>
    </xdr:from>
    <xdr:ext cx="184731" cy="264560"/>
    <xdr:sp macro="" textlink="">
      <xdr:nvSpPr>
        <xdr:cNvPr id="57" name="TextBox 56">
          <a:extLst>
            <a:ext uri="{FF2B5EF4-FFF2-40B4-BE49-F238E27FC236}">
              <a16:creationId xmlns:a16="http://schemas.microsoft.com/office/drawing/2014/main" id="{00000000-0008-0000-0000-000039000000}"/>
            </a:ext>
          </a:extLst>
        </xdr:cNvPr>
        <xdr:cNvSpPr txBox="1"/>
      </xdr:nvSpPr>
      <xdr:spPr>
        <a:xfrm>
          <a:off x="2619375" y="45796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0</xdr:rowOff>
    </xdr:from>
    <xdr:ext cx="184731" cy="264560"/>
    <xdr:sp macro="" textlink="">
      <xdr:nvSpPr>
        <xdr:cNvPr id="58" name="TextBox 57">
          <a:extLst>
            <a:ext uri="{FF2B5EF4-FFF2-40B4-BE49-F238E27FC236}">
              <a16:creationId xmlns:a16="http://schemas.microsoft.com/office/drawing/2014/main" id="{00000000-0008-0000-0000-00003A000000}"/>
            </a:ext>
          </a:extLst>
        </xdr:cNvPr>
        <xdr:cNvSpPr txBox="1"/>
      </xdr:nvSpPr>
      <xdr:spPr>
        <a:xfrm>
          <a:off x="2619375" y="3666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84455</xdr:rowOff>
    </xdr:from>
    <xdr:ext cx="184731" cy="270859"/>
    <xdr:sp macro="" textlink="">
      <xdr:nvSpPr>
        <xdr:cNvPr id="59" name="TextBox 58">
          <a:extLst>
            <a:ext uri="{FF2B5EF4-FFF2-40B4-BE49-F238E27FC236}">
              <a16:creationId xmlns:a16="http://schemas.microsoft.com/office/drawing/2014/main" id="{00000000-0008-0000-0000-00003B000000}"/>
            </a:ext>
          </a:extLst>
        </xdr:cNvPr>
        <xdr:cNvSpPr txBox="1"/>
      </xdr:nvSpPr>
      <xdr:spPr>
        <a:xfrm>
          <a:off x="2619375" y="36746180"/>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0</xdr:rowOff>
    </xdr:from>
    <xdr:ext cx="184731" cy="264560"/>
    <xdr:sp macro="" textlink="">
      <xdr:nvSpPr>
        <xdr:cNvPr id="60" name="TextBox 59">
          <a:extLst>
            <a:ext uri="{FF2B5EF4-FFF2-40B4-BE49-F238E27FC236}">
              <a16:creationId xmlns:a16="http://schemas.microsoft.com/office/drawing/2014/main" id="{00000000-0008-0000-0000-00003C000000}"/>
            </a:ext>
          </a:extLst>
        </xdr:cNvPr>
        <xdr:cNvSpPr txBox="1"/>
      </xdr:nvSpPr>
      <xdr:spPr>
        <a:xfrm>
          <a:off x="2619375" y="3666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84455</xdr:rowOff>
    </xdr:from>
    <xdr:ext cx="184731" cy="270859"/>
    <xdr:sp macro="" textlink="">
      <xdr:nvSpPr>
        <xdr:cNvPr id="61" name="TextBox 60">
          <a:extLst>
            <a:ext uri="{FF2B5EF4-FFF2-40B4-BE49-F238E27FC236}">
              <a16:creationId xmlns:a16="http://schemas.microsoft.com/office/drawing/2014/main" id="{00000000-0008-0000-0000-00003D000000}"/>
            </a:ext>
          </a:extLst>
        </xdr:cNvPr>
        <xdr:cNvSpPr txBox="1"/>
      </xdr:nvSpPr>
      <xdr:spPr>
        <a:xfrm>
          <a:off x="2619375" y="36746180"/>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0</xdr:rowOff>
    </xdr:from>
    <xdr:ext cx="184731" cy="264560"/>
    <xdr:sp macro="" textlink="">
      <xdr:nvSpPr>
        <xdr:cNvPr id="62" name="TextBox 61">
          <a:extLst>
            <a:ext uri="{FF2B5EF4-FFF2-40B4-BE49-F238E27FC236}">
              <a16:creationId xmlns:a16="http://schemas.microsoft.com/office/drawing/2014/main" id="{00000000-0008-0000-0000-00003E000000}"/>
            </a:ext>
          </a:extLst>
        </xdr:cNvPr>
        <xdr:cNvSpPr txBox="1"/>
      </xdr:nvSpPr>
      <xdr:spPr>
        <a:xfrm>
          <a:off x="2619375" y="36661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170</xdr:row>
      <xdr:rowOff>84455</xdr:rowOff>
    </xdr:from>
    <xdr:ext cx="184731" cy="270859"/>
    <xdr:sp macro="" textlink="">
      <xdr:nvSpPr>
        <xdr:cNvPr id="63" name="TextBox 62">
          <a:extLst>
            <a:ext uri="{FF2B5EF4-FFF2-40B4-BE49-F238E27FC236}">
              <a16:creationId xmlns:a16="http://schemas.microsoft.com/office/drawing/2014/main" id="{00000000-0008-0000-0000-00003F000000}"/>
            </a:ext>
          </a:extLst>
        </xdr:cNvPr>
        <xdr:cNvSpPr txBox="1"/>
      </xdr:nvSpPr>
      <xdr:spPr>
        <a:xfrm>
          <a:off x="2619375" y="36746180"/>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0</xdr:rowOff>
    </xdr:from>
    <xdr:ext cx="184731" cy="264560"/>
    <xdr:sp macro="" textlink="">
      <xdr:nvSpPr>
        <xdr:cNvPr id="64" name="TextBox 63">
          <a:extLst>
            <a:ext uri="{FF2B5EF4-FFF2-40B4-BE49-F238E27FC236}">
              <a16:creationId xmlns:a16="http://schemas.microsoft.com/office/drawing/2014/main" id="{00000000-0008-0000-0000-000040000000}"/>
            </a:ext>
          </a:extLst>
        </xdr:cNvPr>
        <xdr:cNvSpPr txBox="1"/>
      </xdr:nvSpPr>
      <xdr:spPr>
        <a:xfrm>
          <a:off x="2619375" y="36471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169</xdr:row>
      <xdr:rowOff>86360</xdr:rowOff>
    </xdr:from>
    <xdr:ext cx="184731" cy="270859"/>
    <xdr:sp macro="" textlink="">
      <xdr:nvSpPr>
        <xdr:cNvPr id="65" name="TextBox 64">
          <a:extLst>
            <a:ext uri="{FF2B5EF4-FFF2-40B4-BE49-F238E27FC236}">
              <a16:creationId xmlns:a16="http://schemas.microsoft.com/office/drawing/2014/main" id="{00000000-0008-0000-0000-000041000000}"/>
            </a:ext>
          </a:extLst>
        </xdr:cNvPr>
        <xdr:cNvSpPr txBox="1"/>
      </xdr:nvSpPr>
      <xdr:spPr>
        <a:xfrm>
          <a:off x="2619375" y="36557585"/>
          <a:ext cx="184731" cy="270859"/>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0</xdr:colOff>
      <xdr:row>214</xdr:row>
      <xdr:rowOff>0</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214</xdr:row>
      <xdr:rowOff>0</xdr:rowOff>
    </xdr:from>
    <xdr:ext cx="184731" cy="26456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214</xdr:row>
      <xdr:rowOff>0</xdr:rowOff>
    </xdr:from>
    <xdr:ext cx="184731" cy="264560"/>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214</xdr:row>
      <xdr:rowOff>0</xdr:rowOff>
    </xdr:from>
    <xdr:ext cx="184731" cy="264560"/>
    <xdr:sp macro="" textlink="">
      <xdr:nvSpPr>
        <xdr:cNvPr id="7" name="TextBox 6">
          <a:extLst>
            <a:ext uri="{FF2B5EF4-FFF2-40B4-BE49-F238E27FC236}">
              <a16:creationId xmlns:a16="http://schemas.microsoft.com/office/drawing/2014/main" id="{00000000-0008-0000-0100-000007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214</xdr:row>
      <xdr:rowOff>0</xdr:rowOff>
    </xdr:from>
    <xdr:ext cx="184731" cy="264560"/>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214</xdr:row>
      <xdr:rowOff>0</xdr:rowOff>
    </xdr:from>
    <xdr:ext cx="184731" cy="264560"/>
    <xdr:sp macro="" textlink="">
      <xdr:nvSpPr>
        <xdr:cNvPr id="11" name="TextBox 10">
          <a:extLst>
            <a:ext uri="{FF2B5EF4-FFF2-40B4-BE49-F238E27FC236}">
              <a16:creationId xmlns:a16="http://schemas.microsoft.com/office/drawing/2014/main" id="{00000000-0008-0000-0100-00000B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13" name="TextBox 12">
          <a:extLst>
            <a:ext uri="{FF2B5EF4-FFF2-40B4-BE49-F238E27FC236}">
              <a16:creationId xmlns:a16="http://schemas.microsoft.com/office/drawing/2014/main" id="{00000000-0008-0000-0100-00000D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214</xdr:row>
      <xdr:rowOff>0</xdr:rowOff>
    </xdr:from>
    <xdr:ext cx="184731" cy="264560"/>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214</xdr:row>
      <xdr:rowOff>0</xdr:rowOff>
    </xdr:from>
    <xdr:ext cx="184731" cy="264560"/>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3733800" y="693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0</xdr:colOff>
      <xdr:row>50</xdr:row>
      <xdr:rowOff>0</xdr:rowOff>
    </xdr:from>
    <xdr:ext cx="184731" cy="264560"/>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3733800" y="674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308"/>
  <sheetViews>
    <sheetView tabSelected="1" zoomScale="120" zoomScaleNormal="120" workbookViewId="0">
      <pane ySplit="1" topLeftCell="A90" activePane="bottomLeft" state="frozen"/>
      <selection pane="bottomLeft" activeCell="L90" sqref="L90"/>
    </sheetView>
  </sheetViews>
  <sheetFormatPr defaultColWidth="9.140625" defaultRowHeight="15" zeroHeight="1" x14ac:dyDescent="0.25"/>
  <cols>
    <col min="1" max="1" width="11.7109375" style="20" customWidth="1"/>
    <col min="2" max="2" width="30.140625" style="8" customWidth="1"/>
    <col min="3" max="3" width="19.42578125" style="275" hidden="1" customWidth="1"/>
    <col min="4" max="4" width="19.28515625" style="246" hidden="1" customWidth="1"/>
    <col min="5" max="5" width="17.28515625" style="277" hidden="1" customWidth="1"/>
    <col min="6" max="6" width="24.28515625" style="253" hidden="1" customWidth="1"/>
    <col min="7" max="7" width="15.28515625" style="144" hidden="1" customWidth="1"/>
    <col min="8" max="8" width="20.140625" style="137" hidden="1" customWidth="1"/>
    <col min="9" max="9" width="13.42578125" style="305" hidden="1" customWidth="1"/>
    <col min="10" max="10" width="16.140625" style="137" hidden="1" customWidth="1"/>
    <col min="11" max="11" width="15.42578125" style="455" customWidth="1"/>
    <col min="12" max="16384" width="9.140625" style="8"/>
  </cols>
  <sheetData>
    <row r="1" spans="1:11" s="5" customFormat="1" ht="39" x14ac:dyDescent="0.25">
      <c r="A1" s="289" t="s">
        <v>0</v>
      </c>
      <c r="B1" s="313" t="s">
        <v>1</v>
      </c>
      <c r="C1" s="314" t="s">
        <v>1177</v>
      </c>
      <c r="D1" s="215" t="s">
        <v>1176</v>
      </c>
      <c r="E1" s="315" t="s">
        <v>1326</v>
      </c>
      <c r="F1" s="247" t="s">
        <v>1175</v>
      </c>
      <c r="G1" s="296" t="s">
        <v>1327</v>
      </c>
      <c r="H1" s="137" t="s">
        <v>834</v>
      </c>
      <c r="I1" s="306" t="s">
        <v>1381</v>
      </c>
      <c r="J1" s="289" t="s">
        <v>834</v>
      </c>
      <c r="K1" s="454" t="s">
        <v>1445</v>
      </c>
    </row>
    <row r="2" spans="1:11" x14ac:dyDescent="0.25">
      <c r="A2" s="316" t="s">
        <v>14</v>
      </c>
      <c r="B2" s="316"/>
      <c r="C2" s="293"/>
      <c r="D2" s="293"/>
      <c r="E2" s="317"/>
      <c r="F2" s="294"/>
      <c r="G2" s="297"/>
      <c r="H2" s="295"/>
      <c r="I2" s="307"/>
      <c r="J2" s="295"/>
    </row>
    <row r="3" spans="1:11" x14ac:dyDescent="0.25">
      <c r="A3" s="318" t="s">
        <v>15</v>
      </c>
      <c r="B3" s="319"/>
      <c r="C3" s="314"/>
      <c r="D3" s="215"/>
      <c r="E3" s="315"/>
      <c r="F3" s="247"/>
      <c r="G3" s="297"/>
      <c r="I3" s="307"/>
    </row>
    <row r="4" spans="1:11" x14ac:dyDescent="0.25">
      <c r="A4" s="318" t="s">
        <v>16</v>
      </c>
      <c r="B4" s="319"/>
      <c r="C4" s="314"/>
      <c r="D4" s="215"/>
      <c r="E4" s="315"/>
      <c r="F4" s="248"/>
      <c r="G4" s="297"/>
      <c r="I4" s="307"/>
    </row>
    <row r="5" spans="1:11" ht="39" x14ac:dyDescent="0.25">
      <c r="A5" s="320" t="s">
        <v>943</v>
      </c>
      <c r="B5" s="320" t="s">
        <v>18</v>
      </c>
      <c r="C5" s="321">
        <v>639915</v>
      </c>
      <c r="D5" s="216" t="s">
        <v>1185</v>
      </c>
      <c r="E5" s="322">
        <v>585354</v>
      </c>
      <c r="F5" s="137" t="s">
        <v>1328</v>
      </c>
      <c r="G5" s="297">
        <v>585354</v>
      </c>
      <c r="H5" s="137" t="s">
        <v>1328</v>
      </c>
      <c r="I5" s="307">
        <v>580354</v>
      </c>
      <c r="J5" s="137" t="s">
        <v>1403</v>
      </c>
      <c r="K5" s="455">
        <v>549000</v>
      </c>
    </row>
    <row r="6" spans="1:11" x14ac:dyDescent="0.25">
      <c r="A6" s="320"/>
      <c r="B6" s="320"/>
      <c r="C6" s="323"/>
      <c r="D6" s="217"/>
      <c r="E6" s="322"/>
      <c r="F6" s="248"/>
      <c r="G6" s="297"/>
      <c r="I6" s="307"/>
    </row>
    <row r="7" spans="1:11" x14ac:dyDescent="0.25">
      <c r="A7" s="324" t="s">
        <v>19</v>
      </c>
      <c r="B7" s="325"/>
      <c r="C7" s="323"/>
      <c r="D7" s="217"/>
      <c r="E7" s="322"/>
      <c r="F7" s="248"/>
      <c r="G7" s="297"/>
      <c r="I7" s="307"/>
    </row>
    <row r="8" spans="1:11" ht="51.75" x14ac:dyDescent="0.25">
      <c r="A8" s="320" t="s">
        <v>944</v>
      </c>
      <c r="B8" s="320" t="s">
        <v>21</v>
      </c>
      <c r="C8" s="323">
        <v>8901</v>
      </c>
      <c r="D8" s="217"/>
      <c r="E8" s="322">
        <v>9000</v>
      </c>
      <c r="F8" s="248" t="s">
        <v>1239</v>
      </c>
      <c r="G8" s="297">
        <v>9000</v>
      </c>
      <c r="H8" s="248" t="s">
        <v>1239</v>
      </c>
      <c r="I8" s="307">
        <v>9000</v>
      </c>
      <c r="J8" s="248" t="s">
        <v>1239</v>
      </c>
      <c r="K8" s="455">
        <v>9000</v>
      </c>
    </row>
    <row r="9" spans="1:11" ht="15" hidden="1" customHeight="1" x14ac:dyDescent="0.25">
      <c r="A9" s="320" t="s">
        <v>945</v>
      </c>
      <c r="B9" s="320" t="s">
        <v>23</v>
      </c>
      <c r="C9" s="323"/>
      <c r="D9" s="217"/>
      <c r="E9" s="322"/>
      <c r="F9" s="248"/>
      <c r="G9" s="297"/>
      <c r="H9" s="248"/>
      <c r="I9" s="307"/>
      <c r="J9" s="248"/>
    </row>
    <row r="10" spans="1:11" ht="39" x14ac:dyDescent="0.25">
      <c r="A10" s="320" t="s">
        <v>946</v>
      </c>
      <c r="B10" s="320" t="s">
        <v>24</v>
      </c>
      <c r="C10" s="323">
        <v>38993</v>
      </c>
      <c r="D10" s="217" t="s">
        <v>1240</v>
      </c>
      <c r="E10" s="322">
        <v>42000</v>
      </c>
      <c r="F10" s="248" t="s">
        <v>1243</v>
      </c>
      <c r="G10" s="297">
        <v>42000</v>
      </c>
      <c r="H10" s="248" t="s">
        <v>1243</v>
      </c>
      <c r="I10" s="307">
        <v>42000</v>
      </c>
      <c r="J10" s="248" t="s">
        <v>1243</v>
      </c>
      <c r="K10" s="455">
        <v>42000</v>
      </c>
    </row>
    <row r="11" spans="1:11" ht="51.75" x14ac:dyDescent="0.25">
      <c r="A11" s="320" t="s">
        <v>947</v>
      </c>
      <c r="B11" s="320" t="s">
        <v>26</v>
      </c>
      <c r="C11" s="323">
        <v>2845</v>
      </c>
      <c r="D11" s="217" t="s">
        <v>1241</v>
      </c>
      <c r="E11" s="322">
        <v>3000</v>
      </c>
      <c r="F11" s="248"/>
      <c r="G11" s="297">
        <v>3000</v>
      </c>
      <c r="I11" s="307">
        <v>3000</v>
      </c>
      <c r="K11" s="455">
        <v>3000</v>
      </c>
    </row>
    <row r="12" spans="1:11" ht="18" customHeight="1" x14ac:dyDescent="0.25">
      <c r="A12" s="320" t="s">
        <v>948</v>
      </c>
      <c r="B12" s="320" t="s">
        <v>28</v>
      </c>
      <c r="C12" s="323">
        <v>1101</v>
      </c>
      <c r="D12" s="217" t="s">
        <v>1242</v>
      </c>
      <c r="E12" s="322">
        <v>300</v>
      </c>
      <c r="F12" s="248"/>
      <c r="G12" s="297">
        <v>300</v>
      </c>
      <c r="I12" s="307">
        <v>300</v>
      </c>
      <c r="K12" s="455">
        <v>300</v>
      </c>
    </row>
    <row r="13" spans="1:11" x14ac:dyDescent="0.25">
      <c r="A13" s="320"/>
      <c r="B13" s="320"/>
      <c r="C13" s="323"/>
      <c r="D13" s="217"/>
      <c r="E13" s="322"/>
      <c r="F13" s="248"/>
      <c r="G13" s="297"/>
      <c r="I13" s="307"/>
    </row>
    <row r="14" spans="1:11" x14ac:dyDescent="0.25">
      <c r="A14" s="326" t="s">
        <v>29</v>
      </c>
      <c r="B14" s="327"/>
      <c r="C14" s="323"/>
      <c r="D14" s="217"/>
      <c r="E14" s="322"/>
      <c r="F14" s="248"/>
      <c r="G14" s="297"/>
      <c r="I14" s="307"/>
    </row>
    <row r="15" spans="1:11" ht="56.25" customHeight="1" x14ac:dyDescent="0.25">
      <c r="A15" s="328" t="s">
        <v>949</v>
      </c>
      <c r="B15" s="328" t="s">
        <v>31</v>
      </c>
      <c r="C15" s="323">
        <v>38010</v>
      </c>
      <c r="D15" s="217" t="s">
        <v>1183</v>
      </c>
      <c r="E15" s="329">
        <v>35000</v>
      </c>
      <c r="F15" s="249" t="s">
        <v>1217</v>
      </c>
      <c r="G15" s="297">
        <v>29040</v>
      </c>
      <c r="H15" s="137" t="s">
        <v>1329</v>
      </c>
      <c r="I15" s="307">
        <v>16594</v>
      </c>
      <c r="J15" s="137" t="s">
        <v>1382</v>
      </c>
      <c r="K15" s="455">
        <v>35828</v>
      </c>
    </row>
    <row r="16" spans="1:11" x14ac:dyDescent="0.25">
      <c r="A16" s="328" t="s">
        <v>1120</v>
      </c>
      <c r="B16" s="328" t="s">
        <v>1121</v>
      </c>
      <c r="C16" s="323">
        <v>2500</v>
      </c>
      <c r="D16" s="217"/>
      <c r="E16" s="322">
        <v>1800</v>
      </c>
      <c r="F16" s="249" t="s">
        <v>1209</v>
      </c>
      <c r="G16" s="297">
        <v>1000</v>
      </c>
      <c r="H16" s="137" t="s">
        <v>1209</v>
      </c>
      <c r="I16" s="307">
        <v>1000</v>
      </c>
      <c r="J16" s="137" t="s">
        <v>1209</v>
      </c>
    </row>
    <row r="17" spans="1:11" ht="21.75" customHeight="1" x14ac:dyDescent="0.25">
      <c r="A17" s="328" t="s">
        <v>950</v>
      </c>
      <c r="B17" s="328" t="s">
        <v>33</v>
      </c>
      <c r="C17" s="323">
        <v>66430</v>
      </c>
      <c r="D17" s="217"/>
      <c r="E17" s="322">
        <v>55000</v>
      </c>
      <c r="F17" s="249" t="s">
        <v>1215</v>
      </c>
      <c r="G17" s="297">
        <v>48750</v>
      </c>
      <c r="H17" s="137" t="s">
        <v>1330</v>
      </c>
      <c r="I17" s="307">
        <v>40000</v>
      </c>
      <c r="J17" s="137" t="s">
        <v>1411</v>
      </c>
      <c r="K17" s="455">
        <v>10000</v>
      </c>
    </row>
    <row r="18" spans="1:11" ht="30" customHeight="1" x14ac:dyDescent="0.25">
      <c r="A18" s="328" t="s">
        <v>951</v>
      </c>
      <c r="B18" s="328" t="s">
        <v>35</v>
      </c>
      <c r="C18" s="323">
        <v>10741</v>
      </c>
      <c r="D18" s="217"/>
      <c r="E18" s="322">
        <v>7000</v>
      </c>
      <c r="F18" s="248" t="s">
        <v>1332</v>
      </c>
      <c r="G18" s="297">
        <v>5950</v>
      </c>
      <c r="H18" s="137" t="s">
        <v>1331</v>
      </c>
      <c r="I18" s="307">
        <v>5000</v>
      </c>
      <c r="J18" s="137" t="s">
        <v>1395</v>
      </c>
    </row>
    <row r="19" spans="1:11" ht="18.75" customHeight="1" x14ac:dyDescent="0.25">
      <c r="A19" s="328" t="s">
        <v>952</v>
      </c>
      <c r="B19" s="328" t="s">
        <v>37</v>
      </c>
      <c r="C19" s="330">
        <v>260015</v>
      </c>
      <c r="D19" s="218"/>
      <c r="E19" s="322">
        <v>215200</v>
      </c>
      <c r="F19" s="250" t="s">
        <v>1216</v>
      </c>
      <c r="G19" s="297">
        <v>107600</v>
      </c>
      <c r="H19" s="137" t="s">
        <v>1333</v>
      </c>
      <c r="I19" s="307">
        <v>62800</v>
      </c>
      <c r="J19" s="137" t="s">
        <v>1383</v>
      </c>
    </row>
    <row r="20" spans="1:11" ht="25.5" customHeight="1" x14ac:dyDescent="0.25">
      <c r="A20" s="328" t="s">
        <v>953</v>
      </c>
      <c r="B20" s="328" t="s">
        <v>1139</v>
      </c>
      <c r="C20" s="331">
        <v>16695</v>
      </c>
      <c r="D20" s="219"/>
      <c r="E20" s="322">
        <v>10860</v>
      </c>
      <c r="F20" s="248" t="s">
        <v>1210</v>
      </c>
      <c r="G20" s="297">
        <v>5430</v>
      </c>
      <c r="H20" s="137" t="s">
        <v>1334</v>
      </c>
      <c r="I20" s="307">
        <v>1200</v>
      </c>
      <c r="J20" s="137" t="s">
        <v>1396</v>
      </c>
    </row>
    <row r="21" spans="1:11" ht="24.75" customHeight="1" x14ac:dyDescent="0.25">
      <c r="A21" s="328" t="s">
        <v>954</v>
      </c>
      <c r="B21" s="328" t="s">
        <v>820</v>
      </c>
      <c r="C21" s="331">
        <v>19598</v>
      </c>
      <c r="D21" s="219"/>
      <c r="E21" s="322">
        <v>26250</v>
      </c>
      <c r="F21" s="251" t="s">
        <v>1211</v>
      </c>
      <c r="G21" s="297">
        <v>13125</v>
      </c>
      <c r="H21" s="144" t="s">
        <v>1334</v>
      </c>
      <c r="I21" s="307">
        <v>0</v>
      </c>
      <c r="J21" s="137" t="s">
        <v>1394</v>
      </c>
    </row>
    <row r="22" spans="1:11" ht="23.25" customHeight="1" x14ac:dyDescent="0.25">
      <c r="A22" s="328" t="s">
        <v>955</v>
      </c>
      <c r="B22" s="328" t="s">
        <v>41</v>
      </c>
      <c r="C22" s="331">
        <v>12730</v>
      </c>
      <c r="D22" s="219"/>
      <c r="E22" s="322">
        <v>12000</v>
      </c>
      <c r="F22" s="255" t="s">
        <v>1213</v>
      </c>
      <c r="G22" s="297">
        <v>6000</v>
      </c>
      <c r="I22" s="307">
        <v>3500</v>
      </c>
      <c r="J22" s="137" t="s">
        <v>1384</v>
      </c>
    </row>
    <row r="23" spans="1:11" ht="24" customHeight="1" x14ac:dyDescent="0.25">
      <c r="A23" s="328" t="s">
        <v>977</v>
      </c>
      <c r="B23" s="328" t="s">
        <v>43</v>
      </c>
      <c r="C23" s="331">
        <v>32351</v>
      </c>
      <c r="D23" s="219"/>
      <c r="E23" s="322">
        <v>39500</v>
      </c>
      <c r="F23" s="252" t="s">
        <v>1212</v>
      </c>
      <c r="G23" s="297">
        <v>19750</v>
      </c>
      <c r="H23" s="252" t="s">
        <v>1335</v>
      </c>
      <c r="I23" s="307">
        <v>8850</v>
      </c>
      <c r="J23" s="137" t="s">
        <v>1385</v>
      </c>
    </row>
    <row r="24" spans="1:11" ht="91.5" customHeight="1" x14ac:dyDescent="0.25">
      <c r="A24" s="328" t="s">
        <v>956</v>
      </c>
      <c r="B24" s="328" t="s">
        <v>45</v>
      </c>
      <c r="C24" s="331">
        <v>6530</v>
      </c>
      <c r="D24" s="219"/>
      <c r="E24" s="322">
        <v>0</v>
      </c>
      <c r="F24" s="256" t="s">
        <v>1218</v>
      </c>
      <c r="G24" s="297">
        <v>0</v>
      </c>
      <c r="H24" s="256" t="s">
        <v>1218</v>
      </c>
      <c r="I24" s="307">
        <v>0</v>
      </c>
      <c r="J24" s="256" t="s">
        <v>1218</v>
      </c>
      <c r="K24" s="455">
        <v>35050</v>
      </c>
    </row>
    <row r="25" spans="1:11" hidden="1" x14ac:dyDescent="0.25">
      <c r="A25" s="332" t="s">
        <v>46</v>
      </c>
      <c r="B25" s="332" t="s">
        <v>47</v>
      </c>
      <c r="C25" s="333"/>
      <c r="D25" s="220"/>
      <c r="E25" s="334"/>
      <c r="F25" s="248"/>
      <c r="G25" s="297"/>
      <c r="I25" s="307"/>
    </row>
    <row r="26" spans="1:11" x14ac:dyDescent="0.25">
      <c r="A26" s="328" t="s">
        <v>957</v>
      </c>
      <c r="B26" s="328" t="s">
        <v>49</v>
      </c>
      <c r="C26" s="331">
        <v>3235</v>
      </c>
      <c r="D26" s="219"/>
      <c r="E26" s="322">
        <v>0</v>
      </c>
      <c r="F26" s="248"/>
      <c r="G26" s="297">
        <v>0</v>
      </c>
      <c r="I26" s="307">
        <v>0</v>
      </c>
    </row>
    <row r="27" spans="1:11" hidden="1" x14ac:dyDescent="0.25">
      <c r="A27" s="328" t="s">
        <v>958</v>
      </c>
      <c r="B27" s="328" t="s">
        <v>50</v>
      </c>
      <c r="C27" s="323"/>
      <c r="D27" s="217"/>
      <c r="E27" s="322"/>
      <c r="F27" s="248"/>
      <c r="G27" s="297"/>
      <c r="I27" s="307"/>
    </row>
    <row r="28" spans="1:11" hidden="1" x14ac:dyDescent="0.25">
      <c r="A28" s="328" t="s">
        <v>959</v>
      </c>
      <c r="B28" s="328" t="s">
        <v>51</v>
      </c>
      <c r="C28" s="323"/>
      <c r="D28" s="217"/>
      <c r="E28" s="322"/>
      <c r="F28" s="248"/>
      <c r="G28" s="297"/>
      <c r="I28" s="307"/>
    </row>
    <row r="29" spans="1:11" x14ac:dyDescent="0.25">
      <c r="A29" s="328" t="s">
        <v>960</v>
      </c>
      <c r="B29" s="328" t="s">
        <v>1116</v>
      </c>
      <c r="C29" s="323">
        <v>22562</v>
      </c>
      <c r="D29" s="217"/>
      <c r="E29" s="322">
        <v>0</v>
      </c>
      <c r="F29" s="248"/>
      <c r="G29" s="297">
        <v>0</v>
      </c>
      <c r="I29" s="307">
        <v>0</v>
      </c>
    </row>
    <row r="30" spans="1:11" ht="19.5" customHeight="1" x14ac:dyDescent="0.25">
      <c r="A30" s="328" t="s">
        <v>961</v>
      </c>
      <c r="B30" s="328" t="s">
        <v>53</v>
      </c>
      <c r="C30" s="323">
        <v>0</v>
      </c>
      <c r="D30" s="217"/>
      <c r="E30" s="322">
        <v>5650</v>
      </c>
      <c r="F30" s="248" t="s">
        <v>1214</v>
      </c>
      <c r="G30" s="297">
        <v>2825</v>
      </c>
      <c r="H30" s="137" t="s">
        <v>1336</v>
      </c>
      <c r="I30" s="307">
        <v>2400</v>
      </c>
      <c r="J30" s="137" t="s">
        <v>1336</v>
      </c>
    </row>
    <row r="31" spans="1:11" x14ac:dyDescent="0.25">
      <c r="A31" s="328" t="s">
        <v>1119</v>
      </c>
      <c r="B31" s="328" t="s">
        <v>1137</v>
      </c>
      <c r="C31" s="323">
        <v>850</v>
      </c>
      <c r="D31" s="217"/>
      <c r="E31" s="322"/>
      <c r="F31" s="248"/>
      <c r="G31" s="297"/>
      <c r="I31" s="307"/>
      <c r="J31" s="305"/>
    </row>
    <row r="32" spans="1:11" x14ac:dyDescent="0.25">
      <c r="A32" s="320"/>
      <c r="B32" s="320"/>
      <c r="C32" s="323"/>
      <c r="D32" s="217"/>
      <c r="E32" s="322"/>
      <c r="F32" s="248"/>
      <c r="G32" s="297"/>
      <c r="I32" s="307"/>
    </row>
    <row r="33" spans="1:11" x14ac:dyDescent="0.25">
      <c r="A33" s="324" t="s">
        <v>54</v>
      </c>
      <c r="B33" s="320"/>
      <c r="C33" s="323"/>
      <c r="D33" s="217"/>
      <c r="E33" s="322"/>
      <c r="F33" s="248"/>
      <c r="G33" s="297"/>
      <c r="I33" s="307"/>
    </row>
    <row r="34" spans="1:11" x14ac:dyDescent="0.25">
      <c r="A34" s="320" t="s">
        <v>55</v>
      </c>
      <c r="B34" s="320" t="s">
        <v>56</v>
      </c>
      <c r="C34" s="323">
        <v>645</v>
      </c>
      <c r="D34" s="217"/>
      <c r="E34" s="322">
        <v>650</v>
      </c>
      <c r="F34" s="248"/>
      <c r="G34" s="297">
        <v>650</v>
      </c>
      <c r="I34" s="307">
        <v>650</v>
      </c>
      <c r="K34" s="455">
        <v>650</v>
      </c>
    </row>
    <row r="35" spans="1:11" ht="26.25" x14ac:dyDescent="0.25">
      <c r="A35" s="320" t="s">
        <v>57</v>
      </c>
      <c r="B35" s="320" t="s">
        <v>58</v>
      </c>
      <c r="C35" s="323">
        <v>51</v>
      </c>
      <c r="D35" s="217" t="s">
        <v>1249</v>
      </c>
      <c r="E35" s="322">
        <v>100</v>
      </c>
      <c r="F35" s="248"/>
      <c r="G35" s="297">
        <v>100</v>
      </c>
      <c r="I35" s="307">
        <v>100</v>
      </c>
      <c r="K35" s="455">
        <v>100</v>
      </c>
    </row>
    <row r="36" spans="1:11" ht="43.5" customHeight="1" x14ac:dyDescent="0.25">
      <c r="A36" s="320" t="s">
        <v>59</v>
      </c>
      <c r="B36" s="320" t="s">
        <v>60</v>
      </c>
      <c r="C36" s="323">
        <v>15000</v>
      </c>
      <c r="D36" s="217" t="s">
        <v>1244</v>
      </c>
      <c r="E36" s="322">
        <v>18000</v>
      </c>
      <c r="F36" s="248" t="s">
        <v>1245</v>
      </c>
      <c r="G36" s="297">
        <v>18000</v>
      </c>
      <c r="H36" s="248" t="s">
        <v>1245</v>
      </c>
      <c r="I36" s="307">
        <v>18000</v>
      </c>
      <c r="J36" s="248" t="s">
        <v>1245</v>
      </c>
      <c r="K36" s="455">
        <v>18000</v>
      </c>
    </row>
    <row r="37" spans="1:11" s="15" customFormat="1" ht="51.75" x14ac:dyDescent="0.25">
      <c r="A37" s="320" t="s">
        <v>61</v>
      </c>
      <c r="B37" s="320" t="s">
        <v>62</v>
      </c>
      <c r="C37" s="323">
        <v>14000</v>
      </c>
      <c r="D37" s="217" t="s">
        <v>1246</v>
      </c>
      <c r="E37" s="322">
        <v>10000</v>
      </c>
      <c r="F37" s="248" t="s">
        <v>1247</v>
      </c>
      <c r="G37" s="298">
        <v>10000</v>
      </c>
      <c r="H37" s="248" t="s">
        <v>1247</v>
      </c>
      <c r="I37" s="308">
        <v>10000</v>
      </c>
      <c r="J37" s="248" t="s">
        <v>1247</v>
      </c>
      <c r="K37" s="456">
        <v>10000</v>
      </c>
    </row>
    <row r="38" spans="1:11" ht="26.25" x14ac:dyDescent="0.25">
      <c r="A38" s="328" t="s">
        <v>63</v>
      </c>
      <c r="B38" s="328" t="s">
        <v>64</v>
      </c>
      <c r="C38" s="323">
        <v>3856</v>
      </c>
      <c r="D38" s="217" t="s">
        <v>1248</v>
      </c>
      <c r="E38" s="322">
        <v>3700</v>
      </c>
      <c r="F38" s="248"/>
      <c r="G38" s="297">
        <v>3700</v>
      </c>
      <c r="I38" s="307">
        <v>3700</v>
      </c>
      <c r="K38" s="455">
        <v>3700</v>
      </c>
    </row>
    <row r="39" spans="1:11" x14ac:dyDescent="0.25">
      <c r="A39" s="320" t="s">
        <v>962</v>
      </c>
      <c r="B39" s="320" t="s">
        <v>829</v>
      </c>
      <c r="C39" s="323"/>
      <c r="D39" s="217"/>
      <c r="E39" s="322"/>
      <c r="F39" s="248"/>
      <c r="G39" s="297">
        <v>0</v>
      </c>
      <c r="I39" s="307">
        <v>0</v>
      </c>
    </row>
    <row r="40" spans="1:11" x14ac:dyDescent="0.25">
      <c r="A40" s="320"/>
      <c r="B40" s="320" t="s">
        <v>845</v>
      </c>
      <c r="C40" s="323"/>
      <c r="D40" s="217"/>
      <c r="E40" s="322"/>
      <c r="F40" s="248"/>
      <c r="G40" s="297">
        <v>0</v>
      </c>
      <c r="I40" s="307">
        <v>0</v>
      </c>
      <c r="J40" s="305"/>
    </row>
    <row r="41" spans="1:11" x14ac:dyDescent="0.25">
      <c r="A41" s="324" t="s">
        <v>65</v>
      </c>
      <c r="B41" s="320"/>
      <c r="C41" s="323"/>
      <c r="D41" s="217"/>
      <c r="E41" s="322"/>
      <c r="F41" s="248"/>
      <c r="G41" s="297"/>
      <c r="I41" s="307"/>
    </row>
    <row r="42" spans="1:11" ht="120" customHeight="1" x14ac:dyDescent="0.25">
      <c r="A42" s="320" t="s">
        <v>963</v>
      </c>
      <c r="B42" s="320" t="s">
        <v>67</v>
      </c>
      <c r="C42" s="323">
        <v>46625</v>
      </c>
      <c r="D42" s="279" t="s">
        <v>1227</v>
      </c>
      <c r="E42" s="322">
        <v>24375</v>
      </c>
      <c r="F42" s="280" t="s">
        <v>1228</v>
      </c>
      <c r="G42" s="335">
        <v>24375</v>
      </c>
      <c r="H42" s="280" t="s">
        <v>1228</v>
      </c>
      <c r="I42" s="307">
        <v>24375</v>
      </c>
      <c r="J42" s="280" t="s">
        <v>1228</v>
      </c>
      <c r="K42" s="455">
        <v>24375</v>
      </c>
    </row>
    <row r="43" spans="1:11" x14ac:dyDescent="0.25">
      <c r="A43" s="320"/>
      <c r="B43" s="320"/>
      <c r="C43" s="323"/>
      <c r="D43" s="217"/>
      <c r="E43" s="322"/>
      <c r="F43" s="248"/>
      <c r="G43" s="297"/>
      <c r="I43" s="307"/>
    </row>
    <row r="44" spans="1:11" x14ac:dyDescent="0.25">
      <c r="A44" s="336" t="s">
        <v>68</v>
      </c>
      <c r="B44" s="320"/>
      <c r="C44" s="323"/>
      <c r="D44" s="217"/>
      <c r="E44" s="322"/>
      <c r="F44" s="248"/>
      <c r="G44" s="297"/>
      <c r="I44" s="307"/>
    </row>
    <row r="45" spans="1:11" ht="39" x14ac:dyDescent="0.25">
      <c r="A45" s="320" t="s">
        <v>964</v>
      </c>
      <c r="B45" s="320" t="s">
        <v>70</v>
      </c>
      <c r="C45" s="323">
        <v>14500</v>
      </c>
      <c r="D45" s="217" t="s">
        <v>1420</v>
      </c>
      <c r="E45" s="322">
        <v>0</v>
      </c>
      <c r="F45" s="248"/>
      <c r="G45" s="335">
        <v>0</v>
      </c>
      <c r="H45" s="248"/>
      <c r="I45" s="307">
        <v>0</v>
      </c>
      <c r="J45" s="248"/>
      <c r="K45" s="455">
        <v>0</v>
      </c>
    </row>
    <row r="46" spans="1:11" ht="64.5" x14ac:dyDescent="0.25">
      <c r="A46" s="320" t="s">
        <v>965</v>
      </c>
      <c r="B46" s="320" t="s">
        <v>72</v>
      </c>
      <c r="C46" s="323">
        <v>47000</v>
      </c>
      <c r="D46" s="217" t="s">
        <v>1421</v>
      </c>
      <c r="E46" s="322">
        <v>35000</v>
      </c>
      <c r="F46" s="248" t="s">
        <v>1219</v>
      </c>
      <c r="G46" s="335">
        <v>35000</v>
      </c>
      <c r="H46" s="248" t="s">
        <v>1219</v>
      </c>
      <c r="I46" s="307">
        <v>35000</v>
      </c>
      <c r="J46" s="248" t="s">
        <v>1219</v>
      </c>
      <c r="K46" s="455">
        <v>30000</v>
      </c>
    </row>
    <row r="47" spans="1:11" s="18" customFormat="1" hidden="1" x14ac:dyDescent="0.25">
      <c r="A47" s="337" t="s">
        <v>73</v>
      </c>
      <c r="B47" s="337" t="s">
        <v>74</v>
      </c>
      <c r="C47" s="338"/>
      <c r="D47" s="221"/>
      <c r="E47" s="339"/>
      <c r="F47" s="254"/>
      <c r="G47" s="299"/>
      <c r="H47" s="290"/>
      <c r="I47" s="309"/>
      <c r="J47" s="290"/>
      <c r="K47" s="457"/>
    </row>
    <row r="48" spans="1:11" hidden="1" x14ac:dyDescent="0.25">
      <c r="A48" s="337" t="s">
        <v>75</v>
      </c>
      <c r="B48" s="337" t="s">
        <v>76</v>
      </c>
      <c r="C48" s="338"/>
      <c r="D48" s="221"/>
      <c r="E48" s="339"/>
      <c r="F48" s="254"/>
      <c r="G48" s="297"/>
      <c r="I48" s="307"/>
    </row>
    <row r="49" spans="1:11" s="18" customFormat="1" hidden="1" x14ac:dyDescent="0.25">
      <c r="A49" s="337" t="s">
        <v>77</v>
      </c>
      <c r="B49" s="337" t="s">
        <v>78</v>
      </c>
      <c r="C49" s="338"/>
      <c r="D49" s="221"/>
      <c r="E49" s="339"/>
      <c r="F49" s="254"/>
      <c r="G49" s="299"/>
      <c r="H49" s="290"/>
      <c r="I49" s="309"/>
      <c r="J49" s="290"/>
      <c r="K49" s="457"/>
    </row>
    <row r="50" spans="1:11" x14ac:dyDescent="0.25">
      <c r="A50" s="320" t="s">
        <v>966</v>
      </c>
      <c r="B50" s="320" t="s">
        <v>80</v>
      </c>
      <c r="C50" s="323"/>
      <c r="D50" s="217"/>
      <c r="E50" s="322">
        <v>0</v>
      </c>
      <c r="F50" s="248"/>
      <c r="G50" s="297">
        <v>0</v>
      </c>
      <c r="I50" s="307">
        <v>0</v>
      </c>
    </row>
    <row r="51" spans="1:11" s="19" customFormat="1" hidden="1" x14ac:dyDescent="0.25">
      <c r="A51" s="340" t="s">
        <v>81</v>
      </c>
      <c r="B51" s="340" t="s">
        <v>82</v>
      </c>
      <c r="C51" s="341"/>
      <c r="D51" s="222"/>
      <c r="E51" s="322"/>
      <c r="F51" s="255"/>
      <c r="G51" s="299"/>
      <c r="H51" s="291"/>
      <c r="I51" s="309"/>
      <c r="J51" s="291"/>
      <c r="K51" s="457"/>
    </row>
    <row r="52" spans="1:11" hidden="1" x14ac:dyDescent="0.25">
      <c r="A52" s="320" t="s">
        <v>967</v>
      </c>
      <c r="B52" s="320" t="s">
        <v>84</v>
      </c>
      <c r="C52" s="323">
        <v>0</v>
      </c>
      <c r="D52" s="217"/>
      <c r="E52" s="322"/>
      <c r="F52" s="248"/>
      <c r="G52" s="297"/>
      <c r="I52" s="307"/>
    </row>
    <row r="53" spans="1:11" hidden="1" x14ac:dyDescent="0.25">
      <c r="A53" s="320" t="s">
        <v>978</v>
      </c>
      <c r="B53" s="320" t="s">
        <v>979</v>
      </c>
      <c r="C53" s="323">
        <v>0</v>
      </c>
      <c r="D53" s="217"/>
      <c r="E53" s="322"/>
      <c r="F53" s="248"/>
      <c r="G53" s="297"/>
      <c r="I53" s="307"/>
    </row>
    <row r="54" spans="1:11" x14ac:dyDescent="0.25">
      <c r="A54" s="320" t="s">
        <v>1161</v>
      </c>
      <c r="B54" s="320" t="s">
        <v>1162</v>
      </c>
      <c r="C54" s="323">
        <v>0</v>
      </c>
      <c r="D54" s="217"/>
      <c r="E54" s="322">
        <v>0</v>
      </c>
      <c r="F54" s="248"/>
      <c r="G54" s="297">
        <v>0</v>
      </c>
      <c r="I54" s="307">
        <v>0</v>
      </c>
    </row>
    <row r="55" spans="1:11" x14ac:dyDescent="0.25">
      <c r="A55" s="342" t="s">
        <v>1148</v>
      </c>
      <c r="B55" s="328"/>
      <c r="C55" s="323"/>
      <c r="D55" s="217"/>
      <c r="E55" s="322"/>
      <c r="F55" s="248"/>
      <c r="G55" s="297"/>
      <c r="I55" s="307"/>
    </row>
    <row r="56" spans="1:11" ht="39" x14ac:dyDescent="0.25">
      <c r="A56" s="328" t="s">
        <v>968</v>
      </c>
      <c r="B56" s="328" t="s">
        <v>1149</v>
      </c>
      <c r="C56" s="323">
        <v>20000</v>
      </c>
      <c r="D56" s="217" t="s">
        <v>1233</v>
      </c>
      <c r="E56" s="322">
        <v>20000</v>
      </c>
      <c r="F56" s="137" t="s">
        <v>1422</v>
      </c>
      <c r="G56" s="297">
        <v>20000</v>
      </c>
      <c r="H56" s="137" t="s">
        <v>1422</v>
      </c>
      <c r="I56" s="307">
        <v>20000</v>
      </c>
      <c r="J56" s="137" t="s">
        <v>1422</v>
      </c>
      <c r="K56" s="455">
        <v>20000</v>
      </c>
    </row>
    <row r="57" spans="1:11" hidden="1" x14ac:dyDescent="0.25">
      <c r="A57" s="332" t="s">
        <v>87</v>
      </c>
      <c r="B57" s="332" t="s">
        <v>88</v>
      </c>
      <c r="C57" s="338"/>
      <c r="D57" s="221"/>
      <c r="E57" s="339"/>
      <c r="F57" s="248"/>
      <c r="G57" s="297"/>
      <c r="I57" s="307"/>
    </row>
    <row r="58" spans="1:11" ht="26.25" hidden="1" x14ac:dyDescent="0.25">
      <c r="A58" s="340" t="s">
        <v>980</v>
      </c>
      <c r="B58" s="340" t="s">
        <v>1150</v>
      </c>
      <c r="C58" s="341">
        <v>0</v>
      </c>
      <c r="D58" s="222" t="s">
        <v>1251</v>
      </c>
      <c r="E58" s="343">
        <v>0</v>
      </c>
      <c r="F58" s="248" t="s">
        <v>1251</v>
      </c>
      <c r="G58" s="297"/>
      <c r="I58" s="307"/>
    </row>
    <row r="59" spans="1:11" hidden="1" x14ac:dyDescent="0.25">
      <c r="A59" s="340" t="s">
        <v>1117</v>
      </c>
      <c r="B59" s="340" t="s">
        <v>1151</v>
      </c>
      <c r="C59" s="341"/>
      <c r="D59" s="222"/>
      <c r="E59" s="343"/>
      <c r="F59" s="248"/>
      <c r="G59" s="297"/>
      <c r="I59" s="307"/>
    </row>
    <row r="60" spans="1:11" ht="64.5" x14ac:dyDescent="0.25">
      <c r="A60" s="328" t="s">
        <v>969</v>
      </c>
      <c r="B60" s="328" t="s">
        <v>1152</v>
      </c>
      <c r="C60" s="323">
        <v>0</v>
      </c>
      <c r="D60" s="217" t="s">
        <v>1250</v>
      </c>
      <c r="E60" s="344">
        <v>93000</v>
      </c>
      <c r="F60" s="248" t="s">
        <v>1427</v>
      </c>
      <c r="G60" s="297">
        <v>93000</v>
      </c>
      <c r="H60" s="248" t="s">
        <v>1308</v>
      </c>
      <c r="I60" s="307">
        <v>93000</v>
      </c>
      <c r="J60" s="248" t="s">
        <v>1308</v>
      </c>
      <c r="K60" s="455">
        <v>93000</v>
      </c>
    </row>
    <row r="61" spans="1:11" x14ac:dyDescent="0.25">
      <c r="A61" s="328" t="s">
        <v>970</v>
      </c>
      <c r="B61" s="328" t="s">
        <v>1153</v>
      </c>
      <c r="C61" s="323"/>
      <c r="D61" s="217"/>
      <c r="E61" s="344"/>
      <c r="F61" s="248" t="s">
        <v>1304</v>
      </c>
      <c r="G61" s="297"/>
      <c r="H61" s="248" t="s">
        <v>1304</v>
      </c>
      <c r="I61" s="307"/>
      <c r="J61" s="248" t="s">
        <v>1304</v>
      </c>
    </row>
    <row r="62" spans="1:11" x14ac:dyDescent="0.25">
      <c r="A62" s="320"/>
      <c r="B62" s="320"/>
      <c r="C62" s="323"/>
      <c r="D62" s="217"/>
      <c r="E62" s="322"/>
      <c r="F62" s="248"/>
      <c r="G62" s="297"/>
      <c r="I62" s="307"/>
    </row>
    <row r="63" spans="1:11" x14ac:dyDescent="0.25">
      <c r="A63" s="336" t="s">
        <v>91</v>
      </c>
      <c r="B63" s="320"/>
      <c r="C63" s="323"/>
      <c r="D63" s="217"/>
      <c r="E63" s="322"/>
      <c r="F63" s="248"/>
      <c r="G63" s="297"/>
      <c r="I63" s="307"/>
    </row>
    <row r="64" spans="1:11" ht="33.75" customHeight="1" x14ac:dyDescent="0.25">
      <c r="A64" s="320" t="s">
        <v>1303</v>
      </c>
      <c r="B64" s="320" t="s">
        <v>93</v>
      </c>
      <c r="C64" s="323">
        <v>7810</v>
      </c>
      <c r="D64" s="217" t="s">
        <v>1182</v>
      </c>
      <c r="E64" s="345">
        <v>7500</v>
      </c>
      <c r="F64" s="248"/>
      <c r="G64" s="297">
        <v>7500</v>
      </c>
      <c r="I64" s="307">
        <v>7500</v>
      </c>
      <c r="K64" s="455">
        <v>7500</v>
      </c>
    </row>
    <row r="65" spans="1:11" ht="193.5" customHeight="1" x14ac:dyDescent="0.25">
      <c r="A65" s="320" t="s">
        <v>971</v>
      </c>
      <c r="B65" s="320" t="s">
        <v>95</v>
      </c>
      <c r="C65" s="346">
        <v>5893</v>
      </c>
      <c r="D65" s="279" t="s">
        <v>1234</v>
      </c>
      <c r="E65" s="347">
        <v>18370</v>
      </c>
      <c r="F65" s="279" t="s">
        <v>1337</v>
      </c>
      <c r="G65" s="297">
        <v>18370</v>
      </c>
      <c r="H65" s="279" t="s">
        <v>1337</v>
      </c>
      <c r="I65" s="307">
        <v>18370</v>
      </c>
      <c r="J65" s="279" t="s">
        <v>1337</v>
      </c>
      <c r="K65" s="455">
        <v>18370</v>
      </c>
    </row>
    <row r="66" spans="1:11" ht="140.25" customHeight="1" x14ac:dyDescent="0.25">
      <c r="A66" s="320" t="s">
        <v>972</v>
      </c>
      <c r="B66" s="320" t="s">
        <v>1309</v>
      </c>
      <c r="C66" s="346">
        <v>115935</v>
      </c>
      <c r="D66" s="279" t="s">
        <v>1235</v>
      </c>
      <c r="E66" s="347">
        <v>130740</v>
      </c>
      <c r="F66" s="279" t="s">
        <v>1430</v>
      </c>
      <c r="G66" s="348">
        <v>130740</v>
      </c>
      <c r="H66" s="279" t="s">
        <v>1430</v>
      </c>
      <c r="I66" s="307">
        <v>130740</v>
      </c>
      <c r="J66" s="279" t="s">
        <v>1430</v>
      </c>
      <c r="K66" s="455">
        <v>130740</v>
      </c>
    </row>
    <row r="67" spans="1:11" ht="102" x14ac:dyDescent="0.25">
      <c r="A67" s="320" t="s">
        <v>973</v>
      </c>
      <c r="B67" s="320" t="s">
        <v>98</v>
      </c>
      <c r="C67" s="323">
        <v>10533</v>
      </c>
      <c r="D67" s="217" t="s">
        <v>1229</v>
      </c>
      <c r="E67" s="349">
        <v>27210</v>
      </c>
      <c r="F67" s="350" t="s">
        <v>1429</v>
      </c>
      <c r="G67" s="335">
        <v>27210</v>
      </c>
      <c r="H67" s="350" t="s">
        <v>1429</v>
      </c>
      <c r="I67" s="307">
        <v>27210</v>
      </c>
      <c r="J67" s="350" t="s">
        <v>1429</v>
      </c>
      <c r="K67" s="455">
        <v>27210</v>
      </c>
    </row>
    <row r="68" spans="1:11" hidden="1" x14ac:dyDescent="0.25">
      <c r="A68" s="320" t="s">
        <v>974</v>
      </c>
      <c r="B68" s="320" t="s">
        <v>830</v>
      </c>
      <c r="C68" s="323"/>
      <c r="D68" s="217"/>
      <c r="E68" s="349"/>
      <c r="F68" s="252"/>
      <c r="G68" s="297"/>
      <c r="I68" s="307"/>
    </row>
    <row r="69" spans="1:11" x14ac:dyDescent="0.25">
      <c r="A69" s="320" t="s">
        <v>981</v>
      </c>
      <c r="B69" s="320" t="s">
        <v>792</v>
      </c>
      <c r="C69" s="323">
        <v>0</v>
      </c>
      <c r="D69" s="217"/>
      <c r="E69" s="349">
        <v>0</v>
      </c>
      <c r="F69" s="252"/>
      <c r="G69" s="297">
        <v>0</v>
      </c>
      <c r="I69" s="307">
        <v>0</v>
      </c>
    </row>
    <row r="70" spans="1:11" ht="128.25" customHeight="1" x14ac:dyDescent="0.25">
      <c r="A70" s="320" t="s">
        <v>1118</v>
      </c>
      <c r="B70" s="320" t="s">
        <v>1310</v>
      </c>
      <c r="C70" s="346">
        <v>15800</v>
      </c>
      <c r="D70" s="279" t="s">
        <v>1428</v>
      </c>
      <c r="E70" s="351">
        <v>15000</v>
      </c>
      <c r="F70" s="281" t="s">
        <v>1252</v>
      </c>
      <c r="G70" s="297">
        <v>26000</v>
      </c>
      <c r="H70" s="137" t="s">
        <v>1338</v>
      </c>
      <c r="I70" s="307">
        <v>26000</v>
      </c>
      <c r="J70" s="137" t="s">
        <v>1338</v>
      </c>
      <c r="K70" s="455">
        <v>26000</v>
      </c>
    </row>
    <row r="71" spans="1:11" ht="26.25" x14ac:dyDescent="0.25">
      <c r="A71" s="320" t="s">
        <v>1132</v>
      </c>
      <c r="B71" s="320" t="s">
        <v>1133</v>
      </c>
      <c r="C71" s="323">
        <v>31871</v>
      </c>
      <c r="D71" s="222" t="s">
        <v>1184</v>
      </c>
      <c r="E71" s="322">
        <v>0</v>
      </c>
      <c r="F71" s="252" t="s">
        <v>1220</v>
      </c>
      <c r="G71" s="297">
        <v>0</v>
      </c>
      <c r="I71" s="307">
        <v>0</v>
      </c>
    </row>
    <row r="72" spans="1:11" x14ac:dyDescent="0.25">
      <c r="A72" s="352"/>
      <c r="B72" s="353" t="s">
        <v>1418</v>
      </c>
      <c r="C72" s="354">
        <v>0</v>
      </c>
      <c r="D72" s="217"/>
      <c r="E72" s="355">
        <v>0</v>
      </c>
      <c r="F72" s="256"/>
      <c r="G72" s="297">
        <v>0</v>
      </c>
      <c r="I72" s="307">
        <v>0</v>
      </c>
    </row>
    <row r="73" spans="1:11" ht="39" x14ac:dyDescent="0.25">
      <c r="A73" s="340" t="s">
        <v>1255</v>
      </c>
      <c r="B73" s="340" t="s">
        <v>1178</v>
      </c>
      <c r="C73" s="323">
        <v>219203</v>
      </c>
      <c r="D73" s="217" t="s">
        <v>1253</v>
      </c>
      <c r="E73" s="322">
        <v>130152</v>
      </c>
      <c r="F73" s="248" t="s">
        <v>1254</v>
      </c>
      <c r="G73" s="335">
        <v>130152</v>
      </c>
      <c r="H73" s="248" t="s">
        <v>1254</v>
      </c>
      <c r="I73" s="307">
        <v>130152</v>
      </c>
      <c r="J73" s="248" t="s">
        <v>1254</v>
      </c>
      <c r="K73" s="455">
        <v>130152</v>
      </c>
    </row>
    <row r="74" spans="1:11" s="13" customFormat="1" hidden="1" x14ac:dyDescent="0.25">
      <c r="A74" s="336" t="s">
        <v>99</v>
      </c>
      <c r="B74" s="320"/>
      <c r="C74" s="323"/>
      <c r="D74" s="217"/>
      <c r="E74" s="322"/>
      <c r="F74" s="248"/>
      <c r="G74" s="297"/>
      <c r="H74" s="256"/>
      <c r="I74" s="307"/>
      <c r="J74" s="256"/>
      <c r="K74" s="455"/>
    </row>
    <row r="75" spans="1:11" s="13" customFormat="1" hidden="1" x14ac:dyDescent="0.25">
      <c r="A75" s="328" t="s">
        <v>975</v>
      </c>
      <c r="B75" s="328" t="s">
        <v>101</v>
      </c>
      <c r="C75" s="323"/>
      <c r="D75" s="217"/>
      <c r="E75" s="322"/>
      <c r="F75" s="248"/>
      <c r="G75" s="297"/>
      <c r="H75" s="256"/>
      <c r="I75" s="307"/>
      <c r="J75" s="256"/>
      <c r="K75" s="455"/>
    </row>
    <row r="76" spans="1:11" s="19" customFormat="1" hidden="1" x14ac:dyDescent="0.25">
      <c r="A76" s="340"/>
      <c r="B76" s="340"/>
      <c r="C76" s="323"/>
      <c r="D76" s="217"/>
      <c r="E76" s="343"/>
      <c r="F76" s="252"/>
      <c r="G76" s="299"/>
      <c r="H76" s="291"/>
      <c r="I76" s="309"/>
      <c r="J76" s="291"/>
      <c r="K76" s="457"/>
    </row>
    <row r="77" spans="1:11" s="19" customFormat="1" x14ac:dyDescent="0.25">
      <c r="A77" s="332"/>
      <c r="B77" s="340"/>
      <c r="C77" s="323"/>
      <c r="D77" s="217"/>
      <c r="E77" s="343"/>
      <c r="F77" s="252"/>
      <c r="G77" s="299"/>
      <c r="H77" s="291"/>
      <c r="I77" s="309"/>
      <c r="J77" s="291"/>
      <c r="K77" s="457"/>
    </row>
    <row r="78" spans="1:11" s="19" customFormat="1" x14ac:dyDescent="0.25">
      <c r="A78" s="336" t="s">
        <v>1171</v>
      </c>
      <c r="B78" s="340"/>
      <c r="C78" s="323"/>
      <c r="D78" s="217"/>
      <c r="E78" s="343"/>
      <c r="F78" s="252"/>
      <c r="G78" s="299"/>
      <c r="H78" s="291"/>
      <c r="I78" s="309"/>
      <c r="J78" s="291"/>
      <c r="K78" s="457"/>
    </row>
    <row r="79" spans="1:11" s="19" customFormat="1" x14ac:dyDescent="0.25">
      <c r="A79" s="342" t="s">
        <v>1301</v>
      </c>
      <c r="B79" s="340" t="s">
        <v>479</v>
      </c>
      <c r="C79" s="323"/>
      <c r="D79" s="217"/>
      <c r="E79" s="343"/>
      <c r="F79" s="356"/>
      <c r="G79" s="299"/>
      <c r="H79" s="291"/>
      <c r="I79" s="309"/>
      <c r="J79" s="291"/>
      <c r="K79" s="457"/>
    </row>
    <row r="80" spans="1:11" s="19" customFormat="1" ht="64.5" x14ac:dyDescent="0.25">
      <c r="A80" s="336" t="s">
        <v>1302</v>
      </c>
      <c r="B80" s="340" t="s">
        <v>1256</v>
      </c>
      <c r="C80" s="323">
        <v>33005</v>
      </c>
      <c r="D80" s="217" t="s">
        <v>1257</v>
      </c>
      <c r="E80" s="343">
        <v>119180</v>
      </c>
      <c r="F80" s="252" t="s">
        <v>1258</v>
      </c>
      <c r="G80" s="300">
        <v>119180</v>
      </c>
      <c r="H80" s="252" t="s">
        <v>1258</v>
      </c>
      <c r="I80" s="310">
        <v>118370</v>
      </c>
      <c r="J80" s="252" t="s">
        <v>1441</v>
      </c>
      <c r="K80" s="458">
        <v>118370</v>
      </c>
    </row>
    <row r="81" spans="1:11" s="270" customFormat="1" x14ac:dyDescent="0.25">
      <c r="A81" s="357"/>
      <c r="B81" s="358"/>
      <c r="C81" s="323"/>
      <c r="D81" s="268"/>
      <c r="E81" s="343"/>
      <c r="F81" s="269"/>
      <c r="G81" s="299"/>
      <c r="H81" s="292"/>
      <c r="I81" s="309"/>
      <c r="J81" s="292"/>
      <c r="K81" s="457"/>
    </row>
    <row r="82" spans="1:11" x14ac:dyDescent="0.25">
      <c r="A82" s="359"/>
      <c r="B82" s="360" t="s">
        <v>102</v>
      </c>
      <c r="C82" s="361">
        <f>SUM(C4:C80)</f>
        <v>1785729</v>
      </c>
      <c r="D82" s="224"/>
      <c r="E82" s="362">
        <f>SUM(E5:E80)</f>
        <v>1700891</v>
      </c>
      <c r="F82" s="257"/>
      <c r="G82" s="296">
        <f>SUM(G5:G81)</f>
        <v>1543101</v>
      </c>
      <c r="I82" s="306">
        <f>SUM(I5:I81)</f>
        <v>1439165</v>
      </c>
      <c r="K82" s="454">
        <f>SUM(K5:K81)</f>
        <v>1342345</v>
      </c>
    </row>
    <row r="83" spans="1:11" x14ac:dyDescent="0.25">
      <c r="A83" s="363"/>
      <c r="B83" s="138"/>
      <c r="C83" s="323"/>
      <c r="D83" s="217"/>
      <c r="E83" s="322"/>
      <c r="F83" s="248"/>
      <c r="G83" s="297"/>
      <c r="I83" s="307"/>
    </row>
    <row r="84" spans="1:11" x14ac:dyDescent="0.25">
      <c r="A84" s="364" t="s">
        <v>1311</v>
      </c>
      <c r="B84" s="364"/>
      <c r="C84" s="323"/>
      <c r="D84" s="217"/>
      <c r="E84" s="322"/>
      <c r="F84" s="248"/>
      <c r="G84" s="297"/>
      <c r="I84" s="307"/>
    </row>
    <row r="85" spans="1:11" hidden="1" x14ac:dyDescent="0.25">
      <c r="A85" s="320" t="s">
        <v>103</v>
      </c>
      <c r="B85" s="320" t="s">
        <v>104</v>
      </c>
      <c r="C85" s="323"/>
      <c r="D85" s="217"/>
      <c r="E85" s="322"/>
      <c r="F85" s="248"/>
      <c r="G85" s="297"/>
      <c r="I85" s="307"/>
    </row>
    <row r="86" spans="1:11" ht="54.75" customHeight="1" x14ac:dyDescent="0.25">
      <c r="A86" s="328" t="s">
        <v>103</v>
      </c>
      <c r="B86" s="328" t="s">
        <v>1157</v>
      </c>
      <c r="C86" s="323"/>
      <c r="D86" s="217" t="s">
        <v>1265</v>
      </c>
      <c r="E86" s="322"/>
      <c r="F86" s="217" t="s">
        <v>1423</v>
      </c>
      <c r="G86" s="297"/>
      <c r="H86" s="217" t="s">
        <v>1423</v>
      </c>
      <c r="I86" s="307"/>
      <c r="J86" s="217" t="s">
        <v>1423</v>
      </c>
    </row>
    <row r="87" spans="1:11" hidden="1" x14ac:dyDescent="0.25">
      <c r="A87" s="337" t="s">
        <v>103</v>
      </c>
      <c r="B87" s="337" t="s">
        <v>105</v>
      </c>
      <c r="C87" s="338"/>
      <c r="D87" s="221"/>
      <c r="E87" s="339"/>
      <c r="F87" s="254"/>
      <c r="G87" s="297"/>
      <c r="H87" s="254"/>
      <c r="I87" s="307"/>
      <c r="J87" s="254"/>
    </row>
    <row r="88" spans="1:11" hidden="1" x14ac:dyDescent="0.25">
      <c r="A88" s="337" t="s">
        <v>103</v>
      </c>
      <c r="B88" s="337" t="s">
        <v>106</v>
      </c>
      <c r="C88" s="338"/>
      <c r="D88" s="221"/>
      <c r="E88" s="339"/>
      <c r="F88" s="254"/>
      <c r="G88" s="297"/>
      <c r="H88" s="254"/>
      <c r="I88" s="307"/>
      <c r="J88" s="254"/>
    </row>
    <row r="89" spans="1:11" hidden="1" x14ac:dyDescent="0.25">
      <c r="A89" s="337" t="s">
        <v>103</v>
      </c>
      <c r="B89" s="337" t="s">
        <v>107</v>
      </c>
      <c r="C89" s="338"/>
      <c r="D89" s="221"/>
      <c r="E89" s="339"/>
      <c r="F89" s="248"/>
      <c r="G89" s="297"/>
      <c r="H89" s="248"/>
      <c r="I89" s="307"/>
      <c r="J89" s="248"/>
    </row>
    <row r="90" spans="1:11" ht="42" customHeight="1" x14ac:dyDescent="0.25">
      <c r="A90" s="328" t="s">
        <v>103</v>
      </c>
      <c r="B90" s="328" t="s">
        <v>108</v>
      </c>
      <c r="C90" s="323"/>
      <c r="D90" s="217" t="s">
        <v>1265</v>
      </c>
      <c r="E90" s="322"/>
      <c r="F90" s="217" t="s">
        <v>1305</v>
      </c>
      <c r="G90" s="297"/>
      <c r="H90" s="217" t="s">
        <v>1305</v>
      </c>
      <c r="I90" s="307"/>
      <c r="J90" s="217" t="s">
        <v>1305</v>
      </c>
    </row>
    <row r="91" spans="1:11" hidden="1" x14ac:dyDescent="0.25">
      <c r="A91" s="337" t="s">
        <v>103</v>
      </c>
      <c r="B91" s="337" t="s">
        <v>109</v>
      </c>
      <c r="C91" s="338"/>
      <c r="D91" s="221"/>
      <c r="E91" s="339"/>
      <c r="F91" s="248"/>
      <c r="G91" s="297"/>
      <c r="I91" s="307"/>
    </row>
    <row r="92" spans="1:11" ht="39" x14ac:dyDescent="0.25">
      <c r="A92" s="259" t="s">
        <v>976</v>
      </c>
      <c r="B92" s="328" t="s">
        <v>110</v>
      </c>
      <c r="C92" s="323">
        <v>71145</v>
      </c>
      <c r="D92" s="217" t="s">
        <v>1186</v>
      </c>
      <c r="E92" s="322">
        <v>74070</v>
      </c>
      <c r="F92" s="248"/>
      <c r="G92" s="297">
        <v>87141</v>
      </c>
      <c r="H92" s="137" t="s">
        <v>1339</v>
      </c>
      <c r="I92" s="311">
        <v>87141</v>
      </c>
      <c r="J92" s="137" t="s">
        <v>1339</v>
      </c>
      <c r="K92" s="459">
        <v>88955</v>
      </c>
    </row>
    <row r="93" spans="1:11" hidden="1" x14ac:dyDescent="0.25">
      <c r="A93" s="320" t="s">
        <v>111</v>
      </c>
      <c r="B93" s="320"/>
      <c r="C93" s="365"/>
      <c r="D93" s="225"/>
      <c r="E93" s="366"/>
      <c r="F93" s="248"/>
      <c r="G93" s="297"/>
      <c r="I93" s="307"/>
    </row>
    <row r="94" spans="1:11" x14ac:dyDescent="0.25">
      <c r="A94" s="336"/>
      <c r="B94" s="320" t="s">
        <v>1439</v>
      </c>
      <c r="C94" s="323">
        <v>98414</v>
      </c>
      <c r="D94" s="217"/>
      <c r="E94" s="367">
        <v>27864</v>
      </c>
      <c r="F94" s="248"/>
      <c r="G94" s="297">
        <v>27864</v>
      </c>
      <c r="I94" s="307">
        <v>27864</v>
      </c>
      <c r="K94" s="455">
        <v>120000</v>
      </c>
    </row>
    <row r="95" spans="1:11" hidden="1" x14ac:dyDescent="0.25">
      <c r="A95" s="336"/>
      <c r="B95" s="320" t="s">
        <v>112</v>
      </c>
      <c r="C95" s="323"/>
      <c r="D95" s="217"/>
      <c r="E95" s="322"/>
      <c r="F95" s="248"/>
      <c r="G95" s="297"/>
      <c r="I95" s="307"/>
    </row>
    <row r="96" spans="1:11" x14ac:dyDescent="0.25">
      <c r="A96" s="368" t="s">
        <v>113</v>
      </c>
      <c r="B96" s="360" t="s">
        <v>114</v>
      </c>
      <c r="C96" s="369">
        <f>SUM(C82:C94)</f>
        <v>1955288</v>
      </c>
      <c r="D96" s="226"/>
      <c r="E96" s="370">
        <f>+SUM(E82:E94)</f>
        <v>1802825</v>
      </c>
      <c r="F96" s="258"/>
      <c r="G96" s="302">
        <f>+SUM(G82:G94)</f>
        <v>1658106</v>
      </c>
      <c r="I96" s="306">
        <f>+SUM(I82:I94)</f>
        <v>1554170</v>
      </c>
      <c r="K96" s="454">
        <f>+SUM(K82:K94)</f>
        <v>1551300</v>
      </c>
    </row>
    <row r="97" spans="1:11" x14ac:dyDescent="0.25">
      <c r="A97" s="138"/>
      <c r="B97" s="371"/>
      <c r="C97" s="323"/>
      <c r="D97" s="217"/>
      <c r="E97" s="322"/>
      <c r="F97" s="248"/>
      <c r="G97" s="297"/>
      <c r="I97" s="307"/>
    </row>
    <row r="98" spans="1:11" x14ac:dyDescent="0.25">
      <c r="A98" s="372" t="s">
        <v>115</v>
      </c>
      <c r="B98" s="372"/>
      <c r="C98" s="323"/>
      <c r="D98" s="227"/>
      <c r="E98" s="322"/>
      <c r="F98" s="258"/>
      <c r="G98" s="297"/>
      <c r="I98" s="307"/>
    </row>
    <row r="99" spans="1:11" x14ac:dyDescent="0.25">
      <c r="A99" s="373" t="s">
        <v>116</v>
      </c>
      <c r="B99" s="374"/>
      <c r="C99" s="314"/>
      <c r="D99" s="215"/>
      <c r="E99" s="315"/>
      <c r="F99" s="248"/>
      <c r="G99" s="297"/>
      <c r="I99" s="307"/>
    </row>
    <row r="100" spans="1:11" ht="39" x14ac:dyDescent="0.25">
      <c r="A100" s="320" t="s">
        <v>982</v>
      </c>
      <c r="B100" s="320" t="s">
        <v>124</v>
      </c>
      <c r="C100" s="323">
        <v>1892</v>
      </c>
      <c r="D100" s="217" t="s">
        <v>1187</v>
      </c>
      <c r="E100" s="322">
        <v>0</v>
      </c>
      <c r="F100" s="248" t="s">
        <v>1404</v>
      </c>
      <c r="G100" s="297">
        <v>0</v>
      </c>
      <c r="H100" s="248" t="s">
        <v>1404</v>
      </c>
      <c r="I100" s="307">
        <v>0</v>
      </c>
      <c r="J100" s="248" t="s">
        <v>1404</v>
      </c>
      <c r="K100" s="455">
        <v>0</v>
      </c>
    </row>
    <row r="101" spans="1:11" ht="51.75" x14ac:dyDescent="0.25">
      <c r="A101" s="320" t="s">
        <v>983</v>
      </c>
      <c r="B101" s="320" t="s">
        <v>126</v>
      </c>
      <c r="C101" s="323">
        <v>3500</v>
      </c>
      <c r="D101" s="217" t="s">
        <v>1259</v>
      </c>
      <c r="E101" s="322">
        <v>4000</v>
      </c>
      <c r="F101" s="217" t="s">
        <v>1320</v>
      </c>
      <c r="G101" s="297">
        <v>2000</v>
      </c>
      <c r="H101" s="137" t="s">
        <v>1340</v>
      </c>
      <c r="I101" s="307">
        <v>1100</v>
      </c>
      <c r="J101" s="137" t="s">
        <v>1407</v>
      </c>
      <c r="K101" s="455">
        <v>1100</v>
      </c>
    </row>
    <row r="102" spans="1:11" ht="64.5" x14ac:dyDescent="0.25">
      <c r="A102" s="320" t="s">
        <v>984</v>
      </c>
      <c r="B102" s="320" t="s">
        <v>128</v>
      </c>
      <c r="C102" s="323">
        <v>6800</v>
      </c>
      <c r="D102" s="217" t="s">
        <v>1260</v>
      </c>
      <c r="E102" s="322">
        <v>8663</v>
      </c>
      <c r="F102" s="256" t="s">
        <v>1261</v>
      </c>
      <c r="G102" s="297">
        <v>8663</v>
      </c>
      <c r="H102" s="137" t="s">
        <v>1341</v>
      </c>
      <c r="I102" s="307">
        <v>400</v>
      </c>
      <c r="J102" s="137" t="s">
        <v>1406</v>
      </c>
      <c r="K102" s="455">
        <v>2700</v>
      </c>
    </row>
    <row r="103" spans="1:11" ht="72" customHeight="1" x14ac:dyDescent="0.25">
      <c r="A103" s="320" t="s">
        <v>985</v>
      </c>
      <c r="B103" s="320" t="s">
        <v>130</v>
      </c>
      <c r="C103" s="323">
        <v>8586</v>
      </c>
      <c r="D103" s="217" t="s">
        <v>1188</v>
      </c>
      <c r="E103" s="322">
        <v>7115</v>
      </c>
      <c r="F103" s="256" t="s">
        <v>1424</v>
      </c>
      <c r="G103" s="297">
        <v>7115</v>
      </c>
      <c r="H103" s="256" t="s">
        <v>1424</v>
      </c>
      <c r="I103" s="307">
        <v>7115</v>
      </c>
      <c r="J103" s="256" t="s">
        <v>1424</v>
      </c>
      <c r="K103" s="455">
        <v>9115</v>
      </c>
    </row>
    <row r="104" spans="1:11" s="18" customFormat="1" ht="26.25" x14ac:dyDescent="0.25">
      <c r="A104" s="320" t="s">
        <v>986</v>
      </c>
      <c r="B104" s="320" t="s">
        <v>132</v>
      </c>
      <c r="C104" s="323">
        <v>6983</v>
      </c>
      <c r="D104" s="217" t="s">
        <v>1195</v>
      </c>
      <c r="E104" s="322">
        <v>1695</v>
      </c>
      <c r="F104" s="273" t="s">
        <v>1232</v>
      </c>
      <c r="G104" s="300">
        <v>0</v>
      </c>
      <c r="H104" s="303" t="s">
        <v>1342</v>
      </c>
      <c r="I104" s="310">
        <v>0</v>
      </c>
      <c r="J104" s="303" t="s">
        <v>1342</v>
      </c>
      <c r="K104" s="458">
        <v>0</v>
      </c>
    </row>
    <row r="105" spans="1:11" hidden="1" x14ac:dyDescent="0.25">
      <c r="A105" s="337" t="s">
        <v>133</v>
      </c>
      <c r="B105" s="337" t="s">
        <v>134</v>
      </c>
      <c r="C105" s="338"/>
      <c r="D105" s="221"/>
      <c r="E105" s="339"/>
      <c r="F105" s="254"/>
      <c r="G105" s="297"/>
      <c r="I105" s="307"/>
    </row>
    <row r="106" spans="1:11" s="265" customFormat="1" x14ac:dyDescent="0.25">
      <c r="A106" s="340" t="s">
        <v>1165</v>
      </c>
      <c r="B106" s="340" t="s">
        <v>179</v>
      </c>
      <c r="C106" s="323">
        <v>0</v>
      </c>
      <c r="D106" s="217"/>
      <c r="E106" s="339"/>
      <c r="F106" s="248"/>
      <c r="G106" s="297"/>
      <c r="H106" s="137"/>
      <c r="I106" s="307"/>
      <c r="J106" s="137"/>
      <c r="K106" s="455">
        <v>2000</v>
      </c>
    </row>
    <row r="107" spans="1:11" s="265" customFormat="1" hidden="1" x14ac:dyDescent="0.25">
      <c r="A107" s="340" t="s">
        <v>1166</v>
      </c>
      <c r="B107" s="340" t="s">
        <v>190</v>
      </c>
      <c r="C107" s="375"/>
      <c r="D107" s="138"/>
      <c r="E107" s="339"/>
      <c r="F107" s="248"/>
      <c r="G107" s="297"/>
      <c r="H107" s="137"/>
      <c r="I107" s="307"/>
      <c r="J107" s="137"/>
      <c r="K107" s="455"/>
    </row>
    <row r="108" spans="1:11" hidden="1" x14ac:dyDescent="0.25">
      <c r="A108" s="320" t="s">
        <v>137</v>
      </c>
      <c r="B108" s="320" t="s">
        <v>138</v>
      </c>
      <c r="C108" s="323"/>
      <c r="D108" s="217"/>
      <c r="E108" s="322"/>
      <c r="F108" s="248"/>
      <c r="G108" s="297"/>
      <c r="I108" s="307"/>
    </row>
    <row r="109" spans="1:11" x14ac:dyDescent="0.25">
      <c r="A109" s="138"/>
      <c r="B109" s="376" t="s">
        <v>139</v>
      </c>
      <c r="C109" s="377">
        <f>SUM(C100:C106)</f>
        <v>27761</v>
      </c>
      <c r="D109" s="229"/>
      <c r="E109" s="378">
        <f>SUM(E100:E108)</f>
        <v>21473</v>
      </c>
      <c r="F109" s="247"/>
      <c r="G109" s="296">
        <f>SUM(G100:G108)</f>
        <v>17778</v>
      </c>
      <c r="H109" s="289"/>
      <c r="I109" s="306">
        <f>SUM(I100:I108)</f>
        <v>8615</v>
      </c>
      <c r="J109" s="289"/>
      <c r="K109" s="454">
        <f>SUM(K100:K106)</f>
        <v>14915</v>
      </c>
    </row>
    <row r="110" spans="1:11" x14ac:dyDescent="0.25">
      <c r="A110" s="138"/>
      <c r="B110" s="379"/>
      <c r="C110" s="380"/>
      <c r="D110" s="228"/>
      <c r="E110" s="381"/>
      <c r="F110" s="248"/>
      <c r="G110" s="297"/>
      <c r="I110" s="307"/>
    </row>
    <row r="111" spans="1:11" ht="26.25" x14ac:dyDescent="0.25">
      <c r="A111" s="138" t="s">
        <v>987</v>
      </c>
      <c r="B111" s="379" t="s">
        <v>819</v>
      </c>
      <c r="C111" s="380">
        <v>236</v>
      </c>
      <c r="D111" s="228"/>
      <c r="E111" s="381">
        <v>250</v>
      </c>
      <c r="F111" s="248" t="s">
        <v>1262</v>
      </c>
      <c r="G111" s="302">
        <v>250</v>
      </c>
      <c r="H111" s="248" t="s">
        <v>1262</v>
      </c>
      <c r="I111" s="306">
        <v>250</v>
      </c>
      <c r="J111" s="248" t="s">
        <v>1262</v>
      </c>
      <c r="K111" s="454">
        <v>250</v>
      </c>
    </row>
    <row r="112" spans="1:11" x14ac:dyDescent="0.25">
      <c r="A112" s="138"/>
      <c r="B112" s="379"/>
      <c r="C112" s="380"/>
      <c r="D112" s="228"/>
      <c r="E112" s="381"/>
      <c r="F112" s="248"/>
      <c r="G112" s="297"/>
      <c r="I112" s="307"/>
    </row>
    <row r="113" spans="1:11" x14ac:dyDescent="0.25">
      <c r="A113" s="382"/>
      <c r="B113" s="319"/>
      <c r="C113" s="314"/>
      <c r="D113" s="215"/>
      <c r="E113" s="315"/>
      <c r="F113" s="248"/>
      <c r="G113" s="297"/>
      <c r="I113" s="307"/>
    </row>
    <row r="114" spans="1:11" x14ac:dyDescent="0.25">
      <c r="A114" s="383" t="s">
        <v>140</v>
      </c>
      <c r="B114" s="328"/>
      <c r="C114" s="323"/>
      <c r="D114" s="217"/>
      <c r="E114" s="322"/>
      <c r="F114" s="248"/>
      <c r="G114" s="297"/>
      <c r="I114" s="307"/>
    </row>
    <row r="115" spans="1:11" ht="51.75" x14ac:dyDescent="0.25">
      <c r="A115" s="328" t="s">
        <v>988</v>
      </c>
      <c r="B115" s="328" t="s">
        <v>142</v>
      </c>
      <c r="C115" s="323">
        <v>509189</v>
      </c>
      <c r="D115" s="217" t="s">
        <v>1263</v>
      </c>
      <c r="E115" s="384">
        <v>501683</v>
      </c>
      <c r="F115" s="248" t="s">
        <v>1343</v>
      </c>
      <c r="G115" s="297">
        <v>501683</v>
      </c>
      <c r="H115" s="248" t="s">
        <v>1343</v>
      </c>
      <c r="I115" s="307">
        <v>501683</v>
      </c>
      <c r="J115" s="248" t="s">
        <v>1343</v>
      </c>
      <c r="K115" s="455">
        <v>543833</v>
      </c>
    </row>
    <row r="116" spans="1:11" x14ac:dyDescent="0.25">
      <c r="A116" s="328" t="s">
        <v>989</v>
      </c>
      <c r="B116" s="328" t="s">
        <v>144</v>
      </c>
      <c r="C116" s="323">
        <v>1620</v>
      </c>
      <c r="D116" s="217"/>
      <c r="E116" s="322">
        <v>1700</v>
      </c>
      <c r="F116" s="248"/>
      <c r="G116" s="297">
        <v>1700</v>
      </c>
      <c r="I116" s="307">
        <v>1700</v>
      </c>
      <c r="K116" s="455">
        <v>1500</v>
      </c>
    </row>
    <row r="117" spans="1:11" x14ac:dyDescent="0.25">
      <c r="A117" s="328" t="s">
        <v>990</v>
      </c>
      <c r="B117" s="328" t="s">
        <v>1443</v>
      </c>
      <c r="C117" s="323">
        <v>46282</v>
      </c>
      <c r="D117" s="217"/>
      <c r="E117" s="322">
        <v>38379</v>
      </c>
      <c r="F117" s="248"/>
      <c r="G117" s="297">
        <v>38379</v>
      </c>
      <c r="I117" s="307">
        <v>38379</v>
      </c>
      <c r="K117" s="455">
        <v>43603</v>
      </c>
    </row>
    <row r="118" spans="1:11" ht="39" x14ac:dyDescent="0.25">
      <c r="A118" s="328" t="s">
        <v>991</v>
      </c>
      <c r="B118" s="328" t="s">
        <v>148</v>
      </c>
      <c r="C118" s="323">
        <v>45425</v>
      </c>
      <c r="D118" s="217"/>
      <c r="E118" s="322">
        <v>36000</v>
      </c>
      <c r="F118" s="248" t="s">
        <v>1306</v>
      </c>
      <c r="G118" s="297">
        <v>36000</v>
      </c>
      <c r="H118" s="137" t="s">
        <v>1306</v>
      </c>
      <c r="I118" s="307">
        <v>36000</v>
      </c>
      <c r="J118" s="137" t="s">
        <v>1306</v>
      </c>
      <c r="K118" s="455">
        <v>55685</v>
      </c>
    </row>
    <row r="119" spans="1:11" ht="39" x14ac:dyDescent="0.25">
      <c r="A119" s="328" t="s">
        <v>992</v>
      </c>
      <c r="B119" s="328" t="s">
        <v>150</v>
      </c>
      <c r="C119" s="323">
        <v>7255</v>
      </c>
      <c r="D119" s="217"/>
      <c r="E119" s="322">
        <v>2104</v>
      </c>
      <c r="F119" s="248" t="s">
        <v>1266</v>
      </c>
      <c r="G119" s="297">
        <v>2104</v>
      </c>
      <c r="H119" s="248" t="s">
        <v>1266</v>
      </c>
      <c r="I119" s="307">
        <v>2104</v>
      </c>
      <c r="J119" s="248" t="s">
        <v>1266</v>
      </c>
      <c r="K119" s="455">
        <v>2104</v>
      </c>
    </row>
    <row r="120" spans="1:11" ht="39" x14ac:dyDescent="0.25">
      <c r="A120" s="328" t="s">
        <v>993</v>
      </c>
      <c r="B120" s="328" t="s">
        <v>152</v>
      </c>
      <c r="C120" s="323">
        <v>39305</v>
      </c>
      <c r="D120" s="217"/>
      <c r="E120" s="322">
        <v>37645</v>
      </c>
      <c r="F120" s="248" t="s">
        <v>1307</v>
      </c>
      <c r="G120" s="297">
        <v>37645</v>
      </c>
      <c r="H120" s="248" t="s">
        <v>1307</v>
      </c>
      <c r="I120" s="307">
        <v>37645</v>
      </c>
      <c r="J120" s="248" t="s">
        <v>1307</v>
      </c>
      <c r="K120" s="455">
        <v>37645</v>
      </c>
    </row>
    <row r="121" spans="1:11" ht="39" x14ac:dyDescent="0.25">
      <c r="A121" s="320" t="s">
        <v>994</v>
      </c>
      <c r="B121" s="320" t="s">
        <v>118</v>
      </c>
      <c r="C121" s="323">
        <v>9387</v>
      </c>
      <c r="D121" s="217" t="s">
        <v>1190</v>
      </c>
      <c r="E121" s="322">
        <v>7000</v>
      </c>
      <c r="F121" s="248" t="s">
        <v>1264</v>
      </c>
      <c r="G121" s="297">
        <v>5000</v>
      </c>
      <c r="H121" s="137" t="s">
        <v>1344</v>
      </c>
      <c r="I121" s="307">
        <v>5000</v>
      </c>
      <c r="J121" s="137" t="s">
        <v>1344</v>
      </c>
      <c r="K121" s="455">
        <v>5000</v>
      </c>
    </row>
    <row r="122" spans="1:11" x14ac:dyDescent="0.25">
      <c r="A122" s="320" t="s">
        <v>995</v>
      </c>
      <c r="B122" s="320" t="s">
        <v>120</v>
      </c>
      <c r="C122" s="323">
        <v>12796</v>
      </c>
      <c r="D122" s="217"/>
      <c r="E122" s="322">
        <v>13000</v>
      </c>
      <c r="F122" s="248"/>
      <c r="G122" s="297">
        <v>13000</v>
      </c>
      <c r="I122" s="307">
        <v>13000</v>
      </c>
      <c r="K122" s="455">
        <v>13000</v>
      </c>
    </row>
    <row r="123" spans="1:11" x14ac:dyDescent="0.25">
      <c r="A123" s="320" t="s">
        <v>996</v>
      </c>
      <c r="B123" s="320" t="s">
        <v>156</v>
      </c>
      <c r="C123" s="323">
        <v>100</v>
      </c>
      <c r="D123" s="217"/>
      <c r="E123" s="322">
        <v>100</v>
      </c>
      <c r="F123" s="248"/>
      <c r="G123" s="297">
        <v>100</v>
      </c>
      <c r="I123" s="307">
        <v>100</v>
      </c>
      <c r="K123" s="455">
        <v>100</v>
      </c>
    </row>
    <row r="124" spans="1:11" x14ac:dyDescent="0.25">
      <c r="A124" s="320" t="s">
        <v>997</v>
      </c>
      <c r="B124" s="320" t="s">
        <v>122</v>
      </c>
      <c r="C124" s="323"/>
      <c r="D124" s="217"/>
      <c r="E124" s="322">
        <v>0</v>
      </c>
      <c r="F124" s="248"/>
      <c r="G124" s="297">
        <v>0</v>
      </c>
      <c r="I124" s="307">
        <v>0</v>
      </c>
      <c r="K124" s="455">
        <v>0</v>
      </c>
    </row>
    <row r="125" spans="1:11" x14ac:dyDescent="0.25">
      <c r="A125" s="320" t="s">
        <v>998</v>
      </c>
      <c r="B125" s="320" t="s">
        <v>160</v>
      </c>
      <c r="C125" s="323">
        <v>9989</v>
      </c>
      <c r="D125" s="217"/>
      <c r="E125" s="322">
        <v>10000</v>
      </c>
      <c r="F125" s="248"/>
      <c r="G125" s="297">
        <v>10000</v>
      </c>
      <c r="I125" s="307">
        <v>10000</v>
      </c>
      <c r="K125" s="455">
        <v>10000</v>
      </c>
    </row>
    <row r="126" spans="1:11" ht="26.25" x14ac:dyDescent="0.25">
      <c r="A126" s="320" t="s">
        <v>999</v>
      </c>
      <c r="B126" s="320" t="s">
        <v>162</v>
      </c>
      <c r="C126" s="323">
        <v>45456</v>
      </c>
      <c r="D126" s="217"/>
      <c r="E126" s="322">
        <v>46296</v>
      </c>
      <c r="F126" s="248" t="s">
        <v>1189</v>
      </c>
      <c r="G126" s="297">
        <v>46296</v>
      </c>
      <c r="H126" s="248" t="s">
        <v>1189</v>
      </c>
      <c r="I126" s="307">
        <v>46296</v>
      </c>
      <c r="J126" s="248" t="s">
        <v>1189</v>
      </c>
      <c r="K126" s="455">
        <v>46296</v>
      </c>
    </row>
    <row r="127" spans="1:11" x14ac:dyDescent="0.25">
      <c r="A127" s="320" t="s">
        <v>1000</v>
      </c>
      <c r="B127" s="320" t="s">
        <v>164</v>
      </c>
      <c r="C127" s="323">
        <v>1920</v>
      </c>
      <c r="D127" s="217"/>
      <c r="E127" s="322">
        <v>1920</v>
      </c>
      <c r="F127" s="248"/>
      <c r="G127" s="297">
        <v>1920</v>
      </c>
      <c r="I127" s="307">
        <v>1920</v>
      </c>
      <c r="K127" s="455">
        <v>1920</v>
      </c>
    </row>
    <row r="128" spans="1:11" x14ac:dyDescent="0.25">
      <c r="A128" s="320" t="s">
        <v>1001</v>
      </c>
      <c r="B128" s="320" t="s">
        <v>166</v>
      </c>
      <c r="C128" s="323">
        <v>0</v>
      </c>
      <c r="D128" s="217"/>
      <c r="E128" s="322">
        <v>0</v>
      </c>
      <c r="F128" s="248"/>
      <c r="G128" s="297">
        <v>0</v>
      </c>
      <c r="I128" s="307">
        <v>0</v>
      </c>
      <c r="K128" s="455">
        <v>0</v>
      </c>
    </row>
    <row r="129" spans="1:11" x14ac:dyDescent="0.25">
      <c r="A129" s="320" t="s">
        <v>1002</v>
      </c>
      <c r="B129" s="320" t="s">
        <v>168</v>
      </c>
      <c r="C129" s="323">
        <v>0</v>
      </c>
      <c r="D129" s="217"/>
      <c r="E129" s="322">
        <v>0</v>
      </c>
      <c r="F129" s="248"/>
      <c r="G129" s="297">
        <v>0</v>
      </c>
      <c r="I129" s="307">
        <v>0</v>
      </c>
      <c r="K129" s="455">
        <v>0</v>
      </c>
    </row>
    <row r="130" spans="1:11" x14ac:dyDescent="0.25">
      <c r="A130" s="328" t="s">
        <v>1003</v>
      </c>
      <c r="B130" s="328" t="s">
        <v>170</v>
      </c>
      <c r="C130" s="323">
        <v>7682</v>
      </c>
      <c r="D130" s="217"/>
      <c r="E130" s="322">
        <v>8000</v>
      </c>
      <c r="F130" s="248" t="s">
        <v>1267</v>
      </c>
      <c r="G130" s="297">
        <v>8000</v>
      </c>
      <c r="I130" s="307">
        <v>8000</v>
      </c>
      <c r="K130" s="455">
        <v>8000</v>
      </c>
    </row>
    <row r="131" spans="1:11" x14ac:dyDescent="0.25">
      <c r="A131" s="328" t="s">
        <v>1168</v>
      </c>
      <c r="B131" s="328" t="s">
        <v>126</v>
      </c>
      <c r="C131" s="323">
        <v>0</v>
      </c>
      <c r="D131" s="217"/>
      <c r="E131" s="322">
        <v>0</v>
      </c>
      <c r="F131" s="248"/>
      <c r="G131" s="297">
        <v>0</v>
      </c>
      <c r="I131" s="307">
        <v>0</v>
      </c>
      <c r="K131" s="455">
        <v>0</v>
      </c>
    </row>
    <row r="132" spans="1:11" hidden="1" x14ac:dyDescent="0.25">
      <c r="A132" s="328" t="s">
        <v>1169</v>
      </c>
      <c r="B132" s="328" t="s">
        <v>173</v>
      </c>
      <c r="C132" s="323"/>
      <c r="D132" s="217"/>
      <c r="E132" s="322"/>
      <c r="F132" s="248"/>
      <c r="G132" s="297"/>
      <c r="I132" s="307"/>
    </row>
    <row r="133" spans="1:11" ht="51.75" x14ac:dyDescent="0.25">
      <c r="A133" s="328" t="s">
        <v>1004</v>
      </c>
      <c r="B133" s="328" t="s">
        <v>175</v>
      </c>
      <c r="C133" s="323">
        <v>1825</v>
      </c>
      <c r="D133" s="217"/>
      <c r="E133" s="322">
        <v>1000</v>
      </c>
      <c r="F133" s="248" t="s">
        <v>1268</v>
      </c>
      <c r="G133" s="297">
        <v>500</v>
      </c>
      <c r="H133" s="248" t="s">
        <v>1268</v>
      </c>
      <c r="I133" s="307">
        <v>500</v>
      </c>
      <c r="J133" s="248" t="s">
        <v>1268</v>
      </c>
      <c r="K133" s="455">
        <v>500</v>
      </c>
    </row>
    <row r="134" spans="1:11" ht="39" x14ac:dyDescent="0.25">
      <c r="A134" s="328" t="s">
        <v>1005</v>
      </c>
      <c r="B134" s="328" t="s">
        <v>177</v>
      </c>
      <c r="C134" s="323">
        <v>16000</v>
      </c>
      <c r="D134" s="217"/>
      <c r="E134" s="322">
        <v>16800</v>
      </c>
      <c r="F134" s="248" t="s">
        <v>1269</v>
      </c>
      <c r="G134" s="297">
        <v>16800</v>
      </c>
      <c r="H134" s="248" t="s">
        <v>1269</v>
      </c>
      <c r="I134" s="307">
        <v>16800</v>
      </c>
      <c r="J134" s="248" t="s">
        <v>1269</v>
      </c>
      <c r="K134" s="455">
        <v>16800</v>
      </c>
    </row>
    <row r="135" spans="1:11" ht="102.75" x14ac:dyDescent="0.25">
      <c r="A135" s="328" t="s">
        <v>1006</v>
      </c>
      <c r="B135" s="328" t="s">
        <v>179</v>
      </c>
      <c r="C135" s="323">
        <v>81269</v>
      </c>
      <c r="D135" s="217"/>
      <c r="E135" s="322">
        <v>106204</v>
      </c>
      <c r="F135" s="217" t="s">
        <v>1191</v>
      </c>
      <c r="G135" s="297">
        <v>106204</v>
      </c>
      <c r="H135" s="217" t="s">
        <v>1191</v>
      </c>
      <c r="I135" s="307">
        <v>106204</v>
      </c>
      <c r="J135" s="217" t="s">
        <v>1402</v>
      </c>
      <c r="K135" s="455">
        <v>70264</v>
      </c>
    </row>
    <row r="136" spans="1:11" ht="39" x14ac:dyDescent="0.25">
      <c r="A136" s="328" t="s">
        <v>1007</v>
      </c>
      <c r="B136" s="328" t="s">
        <v>181</v>
      </c>
      <c r="C136" s="323">
        <v>14802</v>
      </c>
      <c r="D136" s="217"/>
      <c r="E136" s="322">
        <v>14000</v>
      </c>
      <c r="F136" s="248" t="s">
        <v>1345</v>
      </c>
      <c r="G136" s="297">
        <v>14000</v>
      </c>
      <c r="H136" s="248" t="s">
        <v>1345</v>
      </c>
      <c r="I136" s="307">
        <v>14000</v>
      </c>
      <c r="J136" s="248" t="s">
        <v>1345</v>
      </c>
      <c r="K136" s="455">
        <v>14000</v>
      </c>
    </row>
    <row r="137" spans="1:11" x14ac:dyDescent="0.25">
      <c r="A137" s="328" t="s">
        <v>1008</v>
      </c>
      <c r="B137" s="328" t="s">
        <v>183</v>
      </c>
      <c r="C137" s="323">
        <v>192</v>
      </c>
      <c r="D137" s="217"/>
      <c r="E137" s="322">
        <v>1000</v>
      </c>
      <c r="F137" s="248"/>
      <c r="G137" s="297">
        <v>1000</v>
      </c>
      <c r="I137" s="307">
        <v>1000</v>
      </c>
      <c r="K137" s="455">
        <v>1000</v>
      </c>
    </row>
    <row r="138" spans="1:11" ht="64.5" x14ac:dyDescent="0.25">
      <c r="A138" s="328" t="s">
        <v>1009</v>
      </c>
      <c r="B138" s="328" t="s">
        <v>138</v>
      </c>
      <c r="C138" s="323">
        <v>7961</v>
      </c>
      <c r="D138" s="217"/>
      <c r="E138" s="322">
        <v>1003</v>
      </c>
      <c r="F138" s="248" t="s">
        <v>1270</v>
      </c>
      <c r="G138" s="297">
        <v>1003</v>
      </c>
      <c r="H138" s="248" t="s">
        <v>1270</v>
      </c>
      <c r="I138" s="307">
        <v>1003</v>
      </c>
      <c r="J138" s="248" t="s">
        <v>1270</v>
      </c>
      <c r="K138" s="455">
        <v>1003</v>
      </c>
    </row>
    <row r="139" spans="1:11" ht="39" x14ac:dyDescent="0.25">
      <c r="A139" s="328" t="s">
        <v>1010</v>
      </c>
      <c r="B139" s="328" t="s">
        <v>186</v>
      </c>
      <c r="C139" s="323">
        <v>41692</v>
      </c>
      <c r="D139" s="217" t="s">
        <v>1192</v>
      </c>
      <c r="E139" s="322">
        <v>40790</v>
      </c>
      <c r="F139" s="248"/>
      <c r="G139" s="297">
        <v>40790</v>
      </c>
      <c r="I139" s="307">
        <v>35000</v>
      </c>
      <c r="J139" s="137" t="s">
        <v>1408</v>
      </c>
      <c r="K139" s="455">
        <v>31000</v>
      </c>
    </row>
    <row r="140" spans="1:11" hidden="1" x14ac:dyDescent="0.25">
      <c r="A140" s="332" t="s">
        <v>187</v>
      </c>
      <c r="B140" s="332" t="s">
        <v>134</v>
      </c>
      <c r="C140" s="338"/>
      <c r="D140" s="221"/>
      <c r="E140" s="339"/>
      <c r="F140" s="254"/>
      <c r="G140" s="297"/>
      <c r="I140" s="307"/>
    </row>
    <row r="141" spans="1:11" x14ac:dyDescent="0.25">
      <c r="A141" s="328" t="s">
        <v>1011</v>
      </c>
      <c r="B141" s="328" t="s">
        <v>189</v>
      </c>
      <c r="C141" s="323">
        <v>2000</v>
      </c>
      <c r="D141" s="217"/>
      <c r="E141" s="322">
        <v>2000</v>
      </c>
      <c r="F141" s="248"/>
      <c r="G141" s="297">
        <v>2000</v>
      </c>
      <c r="I141" s="307">
        <v>2000</v>
      </c>
      <c r="K141" s="455">
        <v>2000</v>
      </c>
    </row>
    <row r="142" spans="1:11" ht="90" x14ac:dyDescent="0.25">
      <c r="A142" s="340" t="s">
        <v>1012</v>
      </c>
      <c r="B142" s="328" t="s">
        <v>190</v>
      </c>
      <c r="C142" s="323">
        <v>20678</v>
      </c>
      <c r="D142" s="248" t="s">
        <v>1194</v>
      </c>
      <c r="E142" s="322">
        <v>18760</v>
      </c>
      <c r="F142" s="248" t="s">
        <v>1193</v>
      </c>
      <c r="G142" s="297">
        <v>18210</v>
      </c>
      <c r="H142" s="137" t="s">
        <v>1346</v>
      </c>
      <c r="I142" s="307">
        <v>18210</v>
      </c>
      <c r="J142" s="137" t="s">
        <v>1346</v>
      </c>
      <c r="K142" s="455">
        <v>23716</v>
      </c>
    </row>
    <row r="143" spans="1:11" x14ac:dyDescent="0.25">
      <c r="A143" s="328" t="s">
        <v>1167</v>
      </c>
      <c r="B143" s="328" t="s">
        <v>1158</v>
      </c>
      <c r="C143" s="323">
        <v>270</v>
      </c>
      <c r="D143" s="217"/>
      <c r="E143" s="322">
        <v>125</v>
      </c>
      <c r="F143" s="248"/>
      <c r="G143" s="297">
        <v>125</v>
      </c>
      <c r="I143" s="307">
        <v>125</v>
      </c>
      <c r="K143" s="455">
        <v>125</v>
      </c>
    </row>
    <row r="144" spans="1:11" x14ac:dyDescent="0.25">
      <c r="A144" s="138"/>
      <c r="B144" s="385" t="s">
        <v>139</v>
      </c>
      <c r="C144" s="377">
        <f>SUM(C115:C143)</f>
        <v>923095</v>
      </c>
      <c r="D144" s="229"/>
      <c r="E144" s="378">
        <f>SUM(E115:E143)</f>
        <v>905509</v>
      </c>
      <c r="F144" s="248"/>
      <c r="G144" s="302">
        <f>SUM(G115:G143)</f>
        <v>902459</v>
      </c>
      <c r="I144" s="306">
        <f>SUM(I115:I143)</f>
        <v>896669</v>
      </c>
      <c r="K144" s="454">
        <f>SUM(K115:K143)</f>
        <v>929094</v>
      </c>
    </row>
    <row r="145" spans="1:11" x14ac:dyDescent="0.25">
      <c r="A145" s="382"/>
      <c r="B145" s="320"/>
      <c r="C145" s="323"/>
      <c r="D145" s="217"/>
      <c r="E145" s="322"/>
      <c r="F145" s="248"/>
      <c r="G145" s="297"/>
      <c r="I145" s="307"/>
    </row>
    <row r="146" spans="1:11" x14ac:dyDescent="0.25">
      <c r="A146" s="386" t="s">
        <v>191</v>
      </c>
      <c r="B146" s="320"/>
      <c r="C146" s="323"/>
      <c r="D146" s="217"/>
      <c r="E146" s="322"/>
      <c r="F146" s="248"/>
      <c r="G146" s="297"/>
      <c r="I146" s="307"/>
    </row>
    <row r="147" spans="1:11" hidden="1" x14ac:dyDescent="0.25">
      <c r="A147" s="337" t="s">
        <v>192</v>
      </c>
      <c r="B147" s="337" t="s">
        <v>118</v>
      </c>
      <c r="C147" s="338"/>
      <c r="D147" s="221"/>
      <c r="E147" s="339"/>
      <c r="F147" s="248"/>
      <c r="G147" s="297"/>
      <c r="I147" s="307"/>
    </row>
    <row r="148" spans="1:11" ht="39" customHeight="1" x14ac:dyDescent="0.25">
      <c r="A148" s="387" t="s">
        <v>193</v>
      </c>
      <c r="B148" s="387" t="s">
        <v>120</v>
      </c>
      <c r="C148" s="341">
        <v>80</v>
      </c>
      <c r="D148" s="222" t="s">
        <v>1221</v>
      </c>
      <c r="E148" s="343">
        <v>80</v>
      </c>
      <c r="F148" s="248" t="s">
        <v>1347</v>
      </c>
      <c r="G148" s="297">
        <v>80</v>
      </c>
      <c r="I148" s="307">
        <v>120</v>
      </c>
      <c r="J148" s="137" t="s">
        <v>1412</v>
      </c>
      <c r="K148" s="455">
        <v>200</v>
      </c>
    </row>
    <row r="149" spans="1:11" hidden="1" x14ac:dyDescent="0.25">
      <c r="A149" s="337" t="s">
        <v>194</v>
      </c>
      <c r="B149" s="337" t="s">
        <v>122</v>
      </c>
      <c r="C149" s="338"/>
      <c r="D149" s="221"/>
      <c r="E149" s="339"/>
      <c r="F149" s="248"/>
      <c r="G149" s="297"/>
      <c r="I149" s="307"/>
    </row>
    <row r="150" spans="1:11" ht="26.25" x14ac:dyDescent="0.25">
      <c r="A150" s="320" t="s">
        <v>1013</v>
      </c>
      <c r="B150" s="320" t="s">
        <v>126</v>
      </c>
      <c r="C150" s="323"/>
      <c r="D150" s="217"/>
      <c r="E150" s="322">
        <v>500</v>
      </c>
      <c r="F150" s="248"/>
      <c r="G150" s="297">
        <v>0</v>
      </c>
      <c r="H150" s="137" t="s">
        <v>1348</v>
      </c>
      <c r="I150" s="307">
        <v>0</v>
      </c>
      <c r="J150" s="137" t="s">
        <v>1348</v>
      </c>
      <c r="K150" s="455">
        <v>500</v>
      </c>
    </row>
    <row r="151" spans="1:11" ht="26.25" x14ac:dyDescent="0.25">
      <c r="A151" s="320" t="s">
        <v>1014</v>
      </c>
      <c r="B151" s="320" t="s">
        <v>197</v>
      </c>
      <c r="C151" s="323"/>
      <c r="D151" s="217"/>
      <c r="E151" s="322">
        <v>4000</v>
      </c>
      <c r="F151" s="248"/>
      <c r="G151" s="297">
        <v>4000</v>
      </c>
      <c r="H151" s="137" t="s">
        <v>1349</v>
      </c>
      <c r="I151" s="307">
        <v>0</v>
      </c>
      <c r="J151" s="137" t="s">
        <v>1401</v>
      </c>
      <c r="K151" s="455">
        <v>2400</v>
      </c>
    </row>
    <row r="152" spans="1:11" hidden="1" x14ac:dyDescent="0.25">
      <c r="A152" s="320" t="s">
        <v>198</v>
      </c>
      <c r="B152" s="320" t="s">
        <v>199</v>
      </c>
      <c r="C152" s="323"/>
      <c r="D152" s="217"/>
      <c r="E152" s="322"/>
      <c r="F152" s="248"/>
      <c r="G152" s="297"/>
      <c r="I152" s="307"/>
    </row>
    <row r="153" spans="1:11" x14ac:dyDescent="0.25">
      <c r="A153" s="320" t="s">
        <v>200</v>
      </c>
      <c r="B153" s="320" t="s">
        <v>201</v>
      </c>
      <c r="C153" s="323"/>
      <c r="D153" s="217"/>
      <c r="E153" s="322">
        <v>0</v>
      </c>
      <c r="F153" s="248"/>
      <c r="G153" s="297">
        <v>0</v>
      </c>
      <c r="I153" s="307">
        <v>0</v>
      </c>
    </row>
    <row r="154" spans="1:11" hidden="1" x14ac:dyDescent="0.25">
      <c r="A154" s="320" t="s">
        <v>202</v>
      </c>
      <c r="B154" s="320" t="s">
        <v>203</v>
      </c>
      <c r="C154" s="323"/>
      <c r="D154" s="217"/>
      <c r="E154" s="322"/>
      <c r="F154" s="248"/>
      <c r="G154" s="297"/>
      <c r="I154" s="307"/>
    </row>
    <row r="155" spans="1:11" ht="29.25" customHeight="1" x14ac:dyDescent="0.25">
      <c r="A155" s="320" t="s">
        <v>1015</v>
      </c>
      <c r="B155" s="320" t="s">
        <v>205</v>
      </c>
      <c r="C155" s="323">
        <v>1099</v>
      </c>
      <c r="D155" s="217"/>
      <c r="E155" s="322">
        <v>1200</v>
      </c>
      <c r="F155" s="248"/>
      <c r="G155" s="297">
        <v>1000</v>
      </c>
      <c r="H155" s="137" t="s">
        <v>1350</v>
      </c>
      <c r="I155" s="307">
        <v>1000</v>
      </c>
      <c r="J155" s="137" t="s">
        <v>1350</v>
      </c>
      <c r="K155" s="455">
        <v>1000</v>
      </c>
    </row>
    <row r="156" spans="1:11" x14ac:dyDescent="0.25">
      <c r="A156" s="320" t="s">
        <v>1016</v>
      </c>
      <c r="B156" s="320" t="s">
        <v>134</v>
      </c>
      <c r="C156" s="323"/>
      <c r="D156" s="217"/>
      <c r="E156" s="322">
        <v>0</v>
      </c>
      <c r="F156" s="248"/>
      <c r="G156" s="297">
        <v>0</v>
      </c>
      <c r="I156" s="307">
        <v>0</v>
      </c>
    </row>
    <row r="157" spans="1:11" x14ac:dyDescent="0.25">
      <c r="A157" s="382" t="s">
        <v>139</v>
      </c>
      <c r="B157" s="138"/>
      <c r="C157" s="377">
        <f>SUM(C148:C156)</f>
        <v>1179</v>
      </c>
      <c r="D157" s="229"/>
      <c r="E157" s="378">
        <f>SUM(E148:E156)</f>
        <v>5780</v>
      </c>
      <c r="F157" s="248"/>
      <c r="G157" s="296">
        <f>SUM(G148:G156)</f>
        <v>5080</v>
      </c>
      <c r="I157" s="306">
        <f>SUM(I148:I156)</f>
        <v>1120</v>
      </c>
      <c r="K157" s="454">
        <f>SUM(K148:K156)</f>
        <v>4100</v>
      </c>
    </row>
    <row r="158" spans="1:11" x14ac:dyDescent="0.25">
      <c r="A158" s="382"/>
      <c r="B158" s="320"/>
      <c r="C158" s="314"/>
      <c r="D158" s="215"/>
      <c r="E158" s="315"/>
      <c r="F158" s="248"/>
      <c r="G158" s="301"/>
      <c r="I158" s="307"/>
    </row>
    <row r="159" spans="1:11" x14ac:dyDescent="0.25">
      <c r="A159" s="373" t="s">
        <v>207</v>
      </c>
      <c r="B159" s="328"/>
      <c r="C159" s="323"/>
      <c r="D159" s="217"/>
      <c r="E159" s="322"/>
      <c r="F159" s="248"/>
      <c r="G159" s="297"/>
      <c r="I159" s="307"/>
    </row>
    <row r="160" spans="1:11" ht="26.25" customHeight="1" x14ac:dyDescent="0.25">
      <c r="A160" s="328" t="s">
        <v>1017</v>
      </c>
      <c r="B160" s="328" t="s">
        <v>118</v>
      </c>
      <c r="C160" s="323">
        <v>1778</v>
      </c>
      <c r="D160" s="217"/>
      <c r="E160" s="322">
        <v>2000</v>
      </c>
      <c r="F160" s="259"/>
      <c r="G160" s="297">
        <v>2000</v>
      </c>
      <c r="H160" s="137" t="s">
        <v>1351</v>
      </c>
      <c r="I160" s="307">
        <v>1000</v>
      </c>
      <c r="J160" s="137" t="s">
        <v>1409</v>
      </c>
    </row>
    <row r="161" spans="1:11" ht="26.25" x14ac:dyDescent="0.25">
      <c r="A161" s="328" t="s">
        <v>1018</v>
      </c>
      <c r="B161" s="328" t="s">
        <v>120</v>
      </c>
      <c r="C161" s="323">
        <v>4125</v>
      </c>
      <c r="D161" s="217"/>
      <c r="E161" s="322">
        <v>4200</v>
      </c>
      <c r="F161" s="248"/>
      <c r="G161" s="297">
        <v>0</v>
      </c>
      <c r="H161" s="137" t="s">
        <v>1352</v>
      </c>
      <c r="I161" s="307">
        <v>0</v>
      </c>
      <c r="J161" s="137" t="s">
        <v>1352</v>
      </c>
    </row>
    <row r="162" spans="1:11" hidden="1" x14ac:dyDescent="0.25">
      <c r="A162" s="332" t="s">
        <v>210</v>
      </c>
      <c r="B162" s="332" t="s">
        <v>122</v>
      </c>
      <c r="C162" s="338"/>
      <c r="D162" s="221"/>
      <c r="E162" s="339"/>
      <c r="F162" s="259"/>
      <c r="G162" s="297"/>
      <c r="I162" s="307"/>
    </row>
    <row r="163" spans="1:11" hidden="1" x14ac:dyDescent="0.25">
      <c r="A163" s="340" t="s">
        <v>538</v>
      </c>
      <c r="B163" s="340" t="s">
        <v>166</v>
      </c>
      <c r="C163" s="338"/>
      <c r="D163" s="221"/>
      <c r="E163" s="339"/>
      <c r="F163" s="259"/>
      <c r="G163" s="297"/>
      <c r="I163" s="307"/>
    </row>
    <row r="164" spans="1:11" ht="39" x14ac:dyDescent="0.25">
      <c r="A164" s="328" t="s">
        <v>1019</v>
      </c>
      <c r="B164" s="328" t="s">
        <v>213</v>
      </c>
      <c r="C164" s="323">
        <v>416</v>
      </c>
      <c r="D164" s="217"/>
      <c r="E164" s="322">
        <v>7500</v>
      </c>
      <c r="F164" s="259" t="s">
        <v>1206</v>
      </c>
      <c r="G164" s="297">
        <v>7500</v>
      </c>
      <c r="H164" s="259" t="s">
        <v>1206</v>
      </c>
      <c r="I164" s="307">
        <v>7500</v>
      </c>
      <c r="J164" s="259" t="s">
        <v>1206</v>
      </c>
      <c r="K164" s="455">
        <v>7500</v>
      </c>
    </row>
    <row r="165" spans="1:11" ht="31.5" customHeight="1" x14ac:dyDescent="0.25">
      <c r="A165" s="328" t="s">
        <v>1020</v>
      </c>
      <c r="B165" s="328" t="s">
        <v>126</v>
      </c>
      <c r="C165" s="323">
        <v>10310</v>
      </c>
      <c r="D165" s="217"/>
      <c r="E165" s="322">
        <v>14790</v>
      </c>
      <c r="F165" s="248" t="s">
        <v>1199</v>
      </c>
      <c r="G165" s="297">
        <v>10790</v>
      </c>
      <c r="H165" s="248" t="s">
        <v>1353</v>
      </c>
      <c r="I165" s="307">
        <v>6992</v>
      </c>
      <c r="J165" s="137" t="s">
        <v>1417</v>
      </c>
    </row>
    <row r="166" spans="1:11" x14ac:dyDescent="0.25">
      <c r="A166" s="328" t="s">
        <v>1021</v>
      </c>
      <c r="B166" s="328" t="s">
        <v>216</v>
      </c>
      <c r="C166" s="323"/>
      <c r="D166" s="217"/>
      <c r="E166" s="322">
        <v>3000</v>
      </c>
      <c r="F166" s="259"/>
      <c r="G166" s="297">
        <v>3000</v>
      </c>
      <c r="I166" s="307">
        <v>1100</v>
      </c>
    </row>
    <row r="167" spans="1:11" x14ac:dyDescent="0.25">
      <c r="A167" s="328" t="s">
        <v>1022</v>
      </c>
      <c r="B167" s="328" t="s">
        <v>218</v>
      </c>
      <c r="C167" s="323">
        <v>1114</v>
      </c>
      <c r="D167" s="217"/>
      <c r="E167" s="322">
        <v>1100</v>
      </c>
      <c r="F167" s="259"/>
      <c r="G167" s="297">
        <v>1100</v>
      </c>
      <c r="I167" s="307">
        <v>1100</v>
      </c>
    </row>
    <row r="168" spans="1:11" ht="46.5" customHeight="1" x14ac:dyDescent="0.25">
      <c r="A168" s="328" t="s">
        <v>1023</v>
      </c>
      <c r="B168" s="328" t="s">
        <v>220</v>
      </c>
      <c r="C168" s="323">
        <v>11000</v>
      </c>
      <c r="D168" s="217"/>
      <c r="E168" s="322">
        <v>7500</v>
      </c>
      <c r="F168" s="259" t="s">
        <v>1196</v>
      </c>
      <c r="G168" s="297">
        <v>7500</v>
      </c>
      <c r="H168" s="259" t="s">
        <v>1196</v>
      </c>
      <c r="I168" s="307">
        <v>4000</v>
      </c>
      <c r="J168" s="137" t="s">
        <v>1413</v>
      </c>
      <c r="K168" s="455">
        <v>10000</v>
      </c>
    </row>
    <row r="169" spans="1:11" x14ac:dyDescent="0.25">
      <c r="A169" s="328" t="s">
        <v>1024</v>
      </c>
      <c r="B169" s="328" t="s">
        <v>222</v>
      </c>
      <c r="C169" s="323">
        <v>1473</v>
      </c>
      <c r="D169" s="217"/>
      <c r="E169" s="322">
        <v>2000</v>
      </c>
      <c r="F169" s="137" t="s">
        <v>1354</v>
      </c>
      <c r="G169" s="297">
        <v>2000</v>
      </c>
      <c r="H169" s="137" t="s">
        <v>1354</v>
      </c>
      <c r="I169" s="307">
        <v>1000</v>
      </c>
      <c r="J169" s="137" t="s">
        <v>1354</v>
      </c>
    </row>
    <row r="170" spans="1:11" ht="31.5" customHeight="1" x14ac:dyDescent="0.25">
      <c r="A170" s="328" t="s">
        <v>1025</v>
      </c>
      <c r="B170" s="328" t="s">
        <v>224</v>
      </c>
      <c r="C170" s="323">
        <v>22611</v>
      </c>
      <c r="D170" s="217"/>
      <c r="E170" s="322">
        <v>12000</v>
      </c>
      <c r="F170" s="259"/>
      <c r="G170" s="297">
        <v>10000</v>
      </c>
      <c r="H170" s="137" t="s">
        <v>1371</v>
      </c>
      <c r="I170" s="307">
        <v>6000</v>
      </c>
      <c r="J170" s="137" t="s">
        <v>1393</v>
      </c>
      <c r="K170" s="455">
        <v>2000</v>
      </c>
    </row>
    <row r="171" spans="1:11" x14ac:dyDescent="0.25">
      <c r="A171" s="328" t="s">
        <v>1026</v>
      </c>
      <c r="B171" s="328" t="s">
        <v>226</v>
      </c>
      <c r="C171" s="323">
        <v>19000</v>
      </c>
      <c r="D171" s="217"/>
      <c r="E171" s="322">
        <v>21330</v>
      </c>
      <c r="F171" s="259"/>
      <c r="G171" s="297">
        <v>21330</v>
      </c>
      <c r="H171" s="137" t="s">
        <v>1355</v>
      </c>
      <c r="I171" s="307">
        <v>21330</v>
      </c>
      <c r="J171" s="137" t="s">
        <v>1386</v>
      </c>
      <c r="K171" s="455">
        <v>21330</v>
      </c>
    </row>
    <row r="172" spans="1:11" x14ac:dyDescent="0.25">
      <c r="A172" s="328" t="s">
        <v>1027</v>
      </c>
      <c r="B172" s="328" t="s">
        <v>203</v>
      </c>
      <c r="C172" s="323">
        <v>2210</v>
      </c>
      <c r="D172" s="217"/>
      <c r="E172" s="322">
        <v>3000</v>
      </c>
      <c r="F172" s="259"/>
      <c r="G172" s="297">
        <v>2500</v>
      </c>
      <c r="I172" s="307">
        <v>2000</v>
      </c>
    </row>
    <row r="173" spans="1:11" ht="27.75" customHeight="1" x14ac:dyDescent="0.25">
      <c r="A173" s="328" t="s">
        <v>1028</v>
      </c>
      <c r="B173" s="328" t="s">
        <v>229</v>
      </c>
      <c r="C173" s="323">
        <v>27956</v>
      </c>
      <c r="D173" s="217"/>
      <c r="E173" s="322">
        <v>26436</v>
      </c>
      <c r="F173" s="259"/>
      <c r="G173" s="297">
        <v>21149</v>
      </c>
      <c r="H173" s="304" t="s">
        <v>1356</v>
      </c>
      <c r="I173" s="307">
        <v>11000</v>
      </c>
      <c r="J173" s="137" t="s">
        <v>1387</v>
      </c>
    </row>
    <row r="174" spans="1:11" ht="27" customHeight="1" x14ac:dyDescent="0.25">
      <c r="A174" s="328" t="s">
        <v>1029</v>
      </c>
      <c r="B174" s="328" t="s">
        <v>231</v>
      </c>
      <c r="C174" s="323">
        <v>27941</v>
      </c>
      <c r="D174" s="217"/>
      <c r="E174" s="322">
        <v>11717</v>
      </c>
      <c r="F174" s="259" t="s">
        <v>1205</v>
      </c>
      <c r="G174" s="297">
        <v>9374</v>
      </c>
      <c r="H174" s="137" t="s">
        <v>1360</v>
      </c>
      <c r="I174" s="307">
        <v>5000</v>
      </c>
      <c r="J174" s="137" t="s">
        <v>1388</v>
      </c>
    </row>
    <row r="175" spans="1:11" ht="21.75" customHeight="1" x14ac:dyDescent="0.25">
      <c r="A175" s="328" t="s">
        <v>1030</v>
      </c>
      <c r="B175" s="328" t="s">
        <v>233</v>
      </c>
      <c r="C175" s="323">
        <v>64</v>
      </c>
      <c r="D175" s="217"/>
      <c r="E175" s="322">
        <v>1000</v>
      </c>
      <c r="F175" s="259"/>
      <c r="G175" s="297">
        <v>0</v>
      </c>
      <c r="H175" s="137" t="s">
        <v>1357</v>
      </c>
      <c r="I175" s="307">
        <v>0</v>
      </c>
    </row>
    <row r="176" spans="1:11" hidden="1" x14ac:dyDescent="0.25">
      <c r="A176" s="328" t="s">
        <v>1031</v>
      </c>
      <c r="B176" s="328" t="s">
        <v>199</v>
      </c>
      <c r="C176" s="323"/>
      <c r="D176" s="217"/>
      <c r="E176" s="322"/>
      <c r="F176" s="259"/>
      <c r="G176" s="297"/>
      <c r="I176" s="307"/>
    </row>
    <row r="177" spans="1:11" ht="26.25" customHeight="1" x14ac:dyDescent="0.25">
      <c r="A177" s="328" t="s">
        <v>1032</v>
      </c>
      <c r="B177" s="328" t="s">
        <v>236</v>
      </c>
      <c r="C177" s="323">
        <v>67241</v>
      </c>
      <c r="D177" s="217"/>
      <c r="E177" s="322">
        <v>45758</v>
      </c>
      <c r="F177" s="248" t="s">
        <v>1325</v>
      </c>
      <c r="G177" s="297">
        <v>44207</v>
      </c>
      <c r="H177" s="137" t="s">
        <v>1358</v>
      </c>
      <c r="I177" s="307">
        <v>26846</v>
      </c>
      <c r="J177" s="137" t="s">
        <v>1416</v>
      </c>
    </row>
    <row r="178" spans="1:11" ht="23.25" customHeight="1" x14ac:dyDescent="0.25">
      <c r="A178" s="328" t="s">
        <v>1033</v>
      </c>
      <c r="B178" s="328" t="s">
        <v>821</v>
      </c>
      <c r="C178" s="323">
        <v>10044</v>
      </c>
      <c r="D178" s="217"/>
      <c r="E178" s="322">
        <v>7186</v>
      </c>
      <c r="F178" s="252" t="s">
        <v>1204</v>
      </c>
      <c r="G178" s="297">
        <v>5749</v>
      </c>
      <c r="H178" s="252" t="s">
        <v>1359</v>
      </c>
      <c r="I178" s="307">
        <v>0</v>
      </c>
      <c r="J178" s="137" t="s">
        <v>1414</v>
      </c>
    </row>
    <row r="179" spans="1:11" ht="38.25" customHeight="1" x14ac:dyDescent="0.25">
      <c r="A179" s="328" t="s">
        <v>1034</v>
      </c>
      <c r="B179" s="328" t="s">
        <v>239</v>
      </c>
      <c r="C179" s="323">
        <v>11616</v>
      </c>
      <c r="D179" s="217"/>
      <c r="E179" s="322">
        <v>4980</v>
      </c>
      <c r="F179" s="259" t="s">
        <v>1361</v>
      </c>
      <c r="G179" s="297">
        <v>4980</v>
      </c>
      <c r="H179" s="259" t="s">
        <v>1361</v>
      </c>
      <c r="I179" s="307">
        <v>3925</v>
      </c>
      <c r="J179" s="259" t="s">
        <v>1410</v>
      </c>
      <c r="K179" s="455">
        <v>1425</v>
      </c>
    </row>
    <row r="180" spans="1:11" ht="25.5" customHeight="1" x14ac:dyDescent="0.25">
      <c r="A180" s="328" t="s">
        <v>1035</v>
      </c>
      <c r="B180" s="328" t="s">
        <v>241</v>
      </c>
      <c r="C180" s="323">
        <v>40000</v>
      </c>
      <c r="D180" s="217"/>
      <c r="E180" s="322">
        <v>35183</v>
      </c>
      <c r="F180" s="259" t="s">
        <v>1203</v>
      </c>
      <c r="G180" s="297">
        <v>28146</v>
      </c>
      <c r="H180" s="137" t="s">
        <v>1362</v>
      </c>
      <c r="I180" s="307">
        <v>16000</v>
      </c>
      <c r="J180" s="137" t="s">
        <v>1389</v>
      </c>
    </row>
    <row r="181" spans="1:11" x14ac:dyDescent="0.25">
      <c r="A181" s="328" t="s">
        <v>1036</v>
      </c>
      <c r="B181" s="328" t="s">
        <v>242</v>
      </c>
      <c r="C181" s="323">
        <v>477</v>
      </c>
      <c r="D181" s="217"/>
      <c r="E181" s="322">
        <v>500</v>
      </c>
      <c r="F181" s="248"/>
      <c r="G181" s="297">
        <v>0</v>
      </c>
      <c r="I181" s="307">
        <v>0</v>
      </c>
    </row>
    <row r="182" spans="1:11" x14ac:dyDescent="0.25">
      <c r="A182" s="328" t="s">
        <v>1037</v>
      </c>
      <c r="B182" s="328" t="s">
        <v>244</v>
      </c>
      <c r="C182" s="323">
        <v>0</v>
      </c>
      <c r="D182" s="217"/>
      <c r="E182" s="322">
        <v>0</v>
      </c>
      <c r="F182" s="259"/>
      <c r="G182" s="297">
        <v>0</v>
      </c>
      <c r="I182" s="307">
        <v>0</v>
      </c>
    </row>
    <row r="183" spans="1:11" ht="26.25" x14ac:dyDescent="0.25">
      <c r="A183" s="328" t="s">
        <v>1038</v>
      </c>
      <c r="B183" s="328" t="s">
        <v>246</v>
      </c>
      <c r="C183" s="323">
        <v>6518</v>
      </c>
      <c r="D183" s="217"/>
      <c r="E183" s="322">
        <v>1686</v>
      </c>
      <c r="F183" s="259" t="s">
        <v>1197</v>
      </c>
      <c r="G183" s="297">
        <v>1686</v>
      </c>
      <c r="H183" s="259" t="s">
        <v>1197</v>
      </c>
      <c r="I183" s="307">
        <v>1686</v>
      </c>
      <c r="J183" s="259" t="s">
        <v>1197</v>
      </c>
    </row>
    <row r="184" spans="1:11" ht="20.25" customHeight="1" x14ac:dyDescent="0.25">
      <c r="A184" s="328" t="s">
        <v>1039</v>
      </c>
      <c r="B184" s="328" t="s">
        <v>248</v>
      </c>
      <c r="C184" s="323">
        <v>13902</v>
      </c>
      <c r="D184" s="217"/>
      <c r="E184" s="322">
        <v>12000</v>
      </c>
      <c r="F184" s="278" t="s">
        <v>1207</v>
      </c>
      <c r="G184" s="297">
        <v>6000</v>
      </c>
      <c r="I184" s="307">
        <v>3500</v>
      </c>
      <c r="J184" s="137" t="s">
        <v>1390</v>
      </c>
    </row>
    <row r="185" spans="1:11" ht="21" customHeight="1" x14ac:dyDescent="0.25">
      <c r="A185" s="328" t="s">
        <v>1040</v>
      </c>
      <c r="B185" s="388" t="s">
        <v>831</v>
      </c>
      <c r="C185" s="323"/>
      <c r="D185" s="217"/>
      <c r="E185" s="322">
        <v>0</v>
      </c>
      <c r="F185" s="259" t="s">
        <v>1202</v>
      </c>
      <c r="G185" s="297"/>
      <c r="H185" s="259" t="s">
        <v>1202</v>
      </c>
      <c r="I185" s="307">
        <v>0</v>
      </c>
    </row>
    <row r="186" spans="1:11" ht="18.75" customHeight="1" x14ac:dyDescent="0.25">
      <c r="A186" s="328" t="s">
        <v>1041</v>
      </c>
      <c r="B186" s="328" t="s">
        <v>251</v>
      </c>
      <c r="C186" s="323">
        <v>2422</v>
      </c>
      <c r="D186" s="217"/>
      <c r="E186" s="322">
        <v>2210</v>
      </c>
      <c r="F186" s="248" t="s">
        <v>1198</v>
      </c>
      <c r="G186" s="297">
        <v>1250</v>
      </c>
      <c r="H186" s="248" t="s">
        <v>1363</v>
      </c>
      <c r="I186" s="307">
        <v>575</v>
      </c>
      <c r="J186" s="137" t="s">
        <v>1391</v>
      </c>
    </row>
    <row r="187" spans="1:11" x14ac:dyDescent="0.25">
      <c r="A187" s="328" t="s">
        <v>1042</v>
      </c>
      <c r="B187" s="328" t="s">
        <v>253</v>
      </c>
      <c r="C187" s="323">
        <v>85</v>
      </c>
      <c r="D187" s="217"/>
      <c r="E187" s="322">
        <v>1700</v>
      </c>
      <c r="F187" s="259"/>
      <c r="G187" s="297">
        <v>1700</v>
      </c>
      <c r="I187" s="307">
        <v>1700</v>
      </c>
      <c r="K187" s="455">
        <v>35828</v>
      </c>
    </row>
    <row r="188" spans="1:11" ht="23.25" customHeight="1" x14ac:dyDescent="0.25">
      <c r="A188" s="328" t="s">
        <v>1043</v>
      </c>
      <c r="B188" s="328" t="s">
        <v>255</v>
      </c>
      <c r="C188" s="323">
        <v>34550</v>
      </c>
      <c r="D188" s="217"/>
      <c r="E188" s="322">
        <v>36773</v>
      </c>
      <c r="F188" s="259" t="s">
        <v>1208</v>
      </c>
      <c r="G188" s="297">
        <v>24523</v>
      </c>
      <c r="H188" s="259" t="s">
        <v>1364</v>
      </c>
      <c r="I188" s="307">
        <v>5250</v>
      </c>
      <c r="J188" s="137" t="s">
        <v>1415</v>
      </c>
    </row>
    <row r="189" spans="1:11" ht="24.75" customHeight="1" x14ac:dyDescent="0.25">
      <c r="A189" s="328" t="s">
        <v>1044</v>
      </c>
      <c r="B189" s="328" t="s">
        <v>134</v>
      </c>
      <c r="C189" s="389">
        <v>6163</v>
      </c>
      <c r="D189" s="230"/>
      <c r="E189" s="322">
        <v>12000</v>
      </c>
      <c r="F189" s="248" t="s">
        <v>1366</v>
      </c>
      <c r="G189" s="297">
        <v>4000</v>
      </c>
      <c r="H189" s="137" t="s">
        <v>1365</v>
      </c>
      <c r="I189" s="307">
        <v>500</v>
      </c>
      <c r="J189" s="137" t="s">
        <v>1392</v>
      </c>
    </row>
    <row r="190" spans="1:11" x14ac:dyDescent="0.25">
      <c r="A190" s="328" t="s">
        <v>1045</v>
      </c>
      <c r="B190" s="328" t="s">
        <v>45</v>
      </c>
      <c r="C190" s="389">
        <v>0</v>
      </c>
      <c r="D190" s="230"/>
      <c r="E190" s="322">
        <v>0</v>
      </c>
      <c r="F190" s="248" t="s">
        <v>1367</v>
      </c>
      <c r="G190" s="297">
        <v>0</v>
      </c>
      <c r="I190" s="307">
        <v>0</v>
      </c>
      <c r="K190" s="455">
        <v>17000</v>
      </c>
    </row>
    <row r="191" spans="1:11" hidden="1" x14ac:dyDescent="0.25">
      <c r="A191" s="332" t="s">
        <v>261</v>
      </c>
      <c r="B191" s="332" t="s">
        <v>47</v>
      </c>
      <c r="C191" s="338"/>
      <c r="D191" s="221"/>
      <c r="E191" s="390"/>
      <c r="F191" s="260"/>
      <c r="G191" s="297"/>
      <c r="I191" s="307"/>
    </row>
    <row r="192" spans="1:11" ht="26.25" x14ac:dyDescent="0.25">
      <c r="A192" s="328" t="s">
        <v>1046</v>
      </c>
      <c r="B192" s="259" t="s">
        <v>262</v>
      </c>
      <c r="C192" s="323">
        <v>3192</v>
      </c>
      <c r="D192" s="217"/>
      <c r="E192" s="322">
        <v>2000</v>
      </c>
      <c r="F192" s="248" t="s">
        <v>1201</v>
      </c>
      <c r="G192" s="297">
        <v>0</v>
      </c>
      <c r="H192" s="137" t="s">
        <v>1368</v>
      </c>
      <c r="I192" s="307">
        <v>0</v>
      </c>
    </row>
    <row r="193" spans="1:11" x14ac:dyDescent="0.25">
      <c r="A193" s="340" t="s">
        <v>1179</v>
      </c>
      <c r="B193" s="391" t="s">
        <v>1146</v>
      </c>
      <c r="C193" s="341">
        <v>3425</v>
      </c>
      <c r="D193" s="222"/>
      <c r="E193" s="343">
        <v>3500</v>
      </c>
      <c r="F193" s="248"/>
      <c r="G193" s="297">
        <v>3500</v>
      </c>
      <c r="H193" s="137" t="s">
        <v>1369</v>
      </c>
      <c r="I193" s="307">
        <v>3500</v>
      </c>
      <c r="J193" s="137" t="s">
        <v>1369</v>
      </c>
      <c r="K193" s="455">
        <v>3500</v>
      </c>
    </row>
    <row r="194" spans="1:11" ht="26.25" x14ac:dyDescent="0.25">
      <c r="A194" s="328" t="s">
        <v>1047</v>
      </c>
      <c r="B194" s="392" t="s">
        <v>832</v>
      </c>
      <c r="C194" s="323">
        <v>6277</v>
      </c>
      <c r="D194" s="217"/>
      <c r="E194" s="322">
        <v>5615</v>
      </c>
      <c r="F194" s="248" t="s">
        <v>1200</v>
      </c>
      <c r="G194" s="297">
        <v>2808</v>
      </c>
      <c r="H194" s="137" t="s">
        <v>1370</v>
      </c>
      <c r="I194" s="307">
        <v>2000</v>
      </c>
      <c r="J194" s="137" t="s">
        <v>1370</v>
      </c>
    </row>
    <row r="195" spans="1:11" x14ac:dyDescent="0.25">
      <c r="A195" s="327"/>
      <c r="B195" s="393" t="s">
        <v>139</v>
      </c>
      <c r="C195" s="361">
        <f>SUM(C160:C194)</f>
        <v>335910</v>
      </c>
      <c r="D195" s="231"/>
      <c r="E195" s="362">
        <f>SUM(E160:E194)</f>
        <v>288664</v>
      </c>
      <c r="F195" s="259"/>
      <c r="G195" s="296">
        <f>SUM(G160:G194)</f>
        <v>226792</v>
      </c>
      <c r="I195" s="306">
        <f>SUM(I160:I194)</f>
        <v>133504</v>
      </c>
      <c r="K195" s="454">
        <f>SUM(K160:K194)</f>
        <v>98583</v>
      </c>
    </row>
    <row r="196" spans="1:11" x14ac:dyDescent="0.25">
      <c r="A196" s="138"/>
      <c r="B196" s="320"/>
      <c r="C196" s="314"/>
      <c r="D196" s="215"/>
      <c r="E196" s="315"/>
      <c r="F196" s="248"/>
      <c r="G196" s="297"/>
      <c r="I196" s="307"/>
    </row>
    <row r="197" spans="1:11" x14ac:dyDescent="0.25">
      <c r="A197" s="386" t="s">
        <v>265</v>
      </c>
      <c r="B197" s="320"/>
      <c r="C197" s="323"/>
      <c r="D197" s="217"/>
      <c r="E197" s="322"/>
      <c r="F197" s="259"/>
      <c r="G197" s="297"/>
      <c r="I197" s="307"/>
    </row>
    <row r="198" spans="1:11" ht="44.25" customHeight="1" x14ac:dyDescent="0.25">
      <c r="A198" s="320" t="s">
        <v>1049</v>
      </c>
      <c r="B198" s="320" t="s">
        <v>120</v>
      </c>
      <c r="C198" s="323">
        <v>60</v>
      </c>
      <c r="D198" s="217"/>
      <c r="E198" s="322">
        <v>1500</v>
      </c>
      <c r="F198" s="256" t="s">
        <v>1271</v>
      </c>
      <c r="G198" s="297">
        <v>1500</v>
      </c>
      <c r="H198" s="256" t="s">
        <v>1271</v>
      </c>
      <c r="I198" s="307">
        <v>1500</v>
      </c>
      <c r="J198" s="256" t="s">
        <v>1271</v>
      </c>
      <c r="K198" s="455">
        <v>1500</v>
      </c>
    </row>
    <row r="199" spans="1:11" ht="15" hidden="1" customHeight="1" x14ac:dyDescent="0.25">
      <c r="A199" s="320" t="s">
        <v>1050</v>
      </c>
      <c r="B199" s="320" t="s">
        <v>122</v>
      </c>
      <c r="C199" s="323"/>
      <c r="D199" s="217"/>
      <c r="E199" s="322"/>
      <c r="F199" s="256"/>
      <c r="G199" s="297"/>
      <c r="H199" s="256"/>
      <c r="I199" s="307"/>
      <c r="J199" s="256"/>
    </row>
    <row r="200" spans="1:11" hidden="1" x14ac:dyDescent="0.25">
      <c r="A200" s="320" t="s">
        <v>1051</v>
      </c>
      <c r="B200" s="320" t="s">
        <v>126</v>
      </c>
      <c r="C200" s="323"/>
      <c r="D200" s="217"/>
      <c r="E200" s="322"/>
      <c r="F200" s="256"/>
      <c r="G200" s="297"/>
      <c r="H200" s="256"/>
      <c r="I200" s="307"/>
      <c r="J200" s="256"/>
    </row>
    <row r="201" spans="1:11" ht="15" hidden="1" customHeight="1" x14ac:dyDescent="0.25">
      <c r="A201" s="320" t="s">
        <v>1052</v>
      </c>
      <c r="B201" s="320" t="s">
        <v>268</v>
      </c>
      <c r="C201" s="323"/>
      <c r="D201" s="217"/>
      <c r="E201" s="322"/>
      <c r="F201" s="256"/>
      <c r="G201" s="297"/>
      <c r="H201" s="256"/>
      <c r="I201" s="307"/>
      <c r="J201" s="256"/>
    </row>
    <row r="202" spans="1:11" ht="27" customHeight="1" x14ac:dyDescent="0.25">
      <c r="A202" s="320" t="s">
        <v>1053</v>
      </c>
      <c r="B202" s="320" t="s">
        <v>242</v>
      </c>
      <c r="C202" s="323">
        <v>2747</v>
      </c>
      <c r="D202" s="217"/>
      <c r="E202" s="322">
        <v>3000</v>
      </c>
      <c r="F202" s="256" t="s">
        <v>1271</v>
      </c>
      <c r="G202" s="297">
        <v>3000</v>
      </c>
      <c r="H202" s="256" t="s">
        <v>1271</v>
      </c>
      <c r="I202" s="307">
        <v>3000</v>
      </c>
      <c r="J202" s="256" t="s">
        <v>1271</v>
      </c>
      <c r="K202" s="455">
        <v>3000</v>
      </c>
    </row>
    <row r="203" spans="1:11" x14ac:dyDescent="0.25">
      <c r="A203" s="320" t="s">
        <v>1048</v>
      </c>
      <c r="B203" s="320" t="s">
        <v>271</v>
      </c>
      <c r="C203" s="323">
        <v>290</v>
      </c>
      <c r="D203" s="217"/>
      <c r="E203" s="322">
        <v>290</v>
      </c>
      <c r="F203" s="256"/>
      <c r="G203" s="297">
        <v>290</v>
      </c>
      <c r="I203" s="307">
        <v>290</v>
      </c>
      <c r="K203" s="455">
        <v>290</v>
      </c>
    </row>
    <row r="204" spans="1:11" hidden="1" x14ac:dyDescent="0.25">
      <c r="A204" s="320" t="s">
        <v>1054</v>
      </c>
      <c r="B204" s="320" t="s">
        <v>134</v>
      </c>
      <c r="C204" s="323"/>
      <c r="D204" s="217"/>
      <c r="E204" s="322"/>
      <c r="F204" s="256"/>
      <c r="G204" s="297"/>
      <c r="I204" s="307"/>
    </row>
    <row r="205" spans="1:11" hidden="1" x14ac:dyDescent="0.25">
      <c r="A205" s="320" t="s">
        <v>1055</v>
      </c>
      <c r="B205" s="320" t="s">
        <v>224</v>
      </c>
      <c r="C205" s="323"/>
      <c r="D205" s="217"/>
      <c r="E205" s="322"/>
      <c r="F205" s="256"/>
      <c r="G205" s="297"/>
      <c r="I205" s="307"/>
    </row>
    <row r="206" spans="1:11" ht="26.25" x14ac:dyDescent="0.25">
      <c r="A206" s="320"/>
      <c r="B206" s="320" t="s">
        <v>1145</v>
      </c>
      <c r="C206" s="323">
        <v>14500</v>
      </c>
      <c r="D206" s="217" t="s">
        <v>1425</v>
      </c>
      <c r="E206" s="322"/>
      <c r="F206" s="137"/>
      <c r="G206" s="297"/>
      <c r="I206" s="307"/>
    </row>
    <row r="207" spans="1:11" hidden="1" x14ac:dyDescent="0.25">
      <c r="A207" s="320" t="s">
        <v>1134</v>
      </c>
      <c r="B207" s="320" t="s">
        <v>1135</v>
      </c>
      <c r="C207" s="323"/>
      <c r="D207" s="217"/>
      <c r="E207" s="322">
        <v>0</v>
      </c>
      <c r="F207" s="256"/>
      <c r="G207" s="297"/>
      <c r="I207" s="307"/>
    </row>
    <row r="208" spans="1:11" x14ac:dyDescent="0.25">
      <c r="A208" s="138"/>
      <c r="B208" s="379" t="s">
        <v>139</v>
      </c>
      <c r="C208" s="394">
        <f>SUM(C198:C207)</f>
        <v>17597</v>
      </c>
      <c r="D208" s="232"/>
      <c r="E208" s="395">
        <f>SUM(E198:E207)</f>
        <v>4790</v>
      </c>
      <c r="F208" s="256"/>
      <c r="G208" s="296">
        <f>SUM(G198:G207)</f>
        <v>4790</v>
      </c>
      <c r="I208" s="306">
        <f>SUM(I198:I207)</f>
        <v>4790</v>
      </c>
      <c r="K208" s="454">
        <f>SUM(K198:K207)</f>
        <v>4790</v>
      </c>
    </row>
    <row r="209" spans="1:11" x14ac:dyDescent="0.25">
      <c r="A209" s="382"/>
      <c r="B209" s="320"/>
      <c r="C209" s="314"/>
      <c r="D209" s="215"/>
      <c r="E209" s="315"/>
      <c r="F209" s="248"/>
      <c r="G209" s="297"/>
      <c r="I209" s="307"/>
    </row>
    <row r="210" spans="1:11" x14ac:dyDescent="0.25">
      <c r="A210" s="386" t="s">
        <v>273</v>
      </c>
      <c r="B210" s="320"/>
      <c r="C210" s="323"/>
      <c r="D210" s="217"/>
      <c r="E210" s="322"/>
      <c r="F210" s="248"/>
      <c r="G210" s="297"/>
      <c r="I210" s="307"/>
    </row>
    <row r="211" spans="1:11" x14ac:dyDescent="0.25">
      <c r="A211" s="320" t="s">
        <v>1056</v>
      </c>
      <c r="B211" s="320" t="s">
        <v>126</v>
      </c>
      <c r="C211" s="323">
        <v>935</v>
      </c>
      <c r="D211" s="217"/>
      <c r="E211" s="322">
        <v>1100</v>
      </c>
      <c r="F211" s="248"/>
      <c r="G211" s="297">
        <v>1100</v>
      </c>
      <c r="I211" s="307">
        <v>1100</v>
      </c>
      <c r="K211" s="455">
        <v>1100</v>
      </c>
    </row>
    <row r="212" spans="1:11" x14ac:dyDescent="0.25">
      <c r="A212" s="320" t="s">
        <v>1057</v>
      </c>
      <c r="B212" s="320" t="s">
        <v>276</v>
      </c>
      <c r="C212" s="323">
        <v>7308</v>
      </c>
      <c r="D212" s="217"/>
      <c r="E212" s="322">
        <v>6500</v>
      </c>
      <c r="F212" s="248"/>
      <c r="G212" s="297">
        <v>6500</v>
      </c>
      <c r="I212" s="307">
        <v>6500</v>
      </c>
      <c r="K212" s="455">
        <v>6500</v>
      </c>
    </row>
    <row r="213" spans="1:11" x14ac:dyDescent="0.25">
      <c r="A213" s="138"/>
      <c r="B213" s="379" t="s">
        <v>139</v>
      </c>
      <c r="C213" s="394">
        <f>SUM(C211:C212)</f>
        <v>8243</v>
      </c>
      <c r="D213" s="232"/>
      <c r="E213" s="395">
        <f>SUM(E211:E212)</f>
        <v>7600</v>
      </c>
      <c r="F213" s="248"/>
      <c r="G213" s="296">
        <f>SUM(G211:G212)</f>
        <v>7600</v>
      </c>
      <c r="I213" s="306">
        <f>SUM(I211:I212)</f>
        <v>7600</v>
      </c>
      <c r="K213" s="454">
        <f>SUM(K211:K212)</f>
        <v>7600</v>
      </c>
    </row>
    <row r="214" spans="1:11" x14ac:dyDescent="0.25">
      <c r="A214" s="382"/>
      <c r="B214" s="320"/>
      <c r="C214" s="314"/>
      <c r="D214" s="215"/>
      <c r="E214" s="315"/>
      <c r="F214" s="248"/>
      <c r="G214" s="297"/>
      <c r="I214" s="307"/>
    </row>
    <row r="215" spans="1:11" x14ac:dyDescent="0.25">
      <c r="A215" s="386" t="s">
        <v>277</v>
      </c>
      <c r="B215" s="320"/>
      <c r="C215" s="323"/>
      <c r="D215" s="217"/>
      <c r="E215" s="322"/>
      <c r="F215" s="248"/>
      <c r="G215" s="297"/>
      <c r="I215" s="307"/>
    </row>
    <row r="216" spans="1:11" hidden="1" x14ac:dyDescent="0.25">
      <c r="A216" s="337" t="s">
        <v>278</v>
      </c>
      <c r="B216" s="337" t="s">
        <v>118</v>
      </c>
      <c r="C216" s="396"/>
      <c r="D216" s="233"/>
      <c r="E216" s="339"/>
      <c r="F216" s="248"/>
      <c r="G216" s="297"/>
      <c r="I216" s="307"/>
    </row>
    <row r="217" spans="1:11" hidden="1" x14ac:dyDescent="0.25">
      <c r="A217" s="337" t="s">
        <v>279</v>
      </c>
      <c r="B217" s="337" t="s">
        <v>120</v>
      </c>
      <c r="C217" s="396"/>
      <c r="D217" s="233"/>
      <c r="E217" s="339"/>
      <c r="F217" s="248"/>
      <c r="G217" s="297"/>
      <c r="I217" s="307"/>
    </row>
    <row r="218" spans="1:11" hidden="1" x14ac:dyDescent="0.25">
      <c r="A218" s="337" t="s">
        <v>280</v>
      </c>
      <c r="B218" s="337" t="s">
        <v>122</v>
      </c>
      <c r="C218" s="396"/>
      <c r="D218" s="233"/>
      <c r="E218" s="339"/>
      <c r="F218" s="248"/>
      <c r="G218" s="297"/>
      <c r="I218" s="307"/>
    </row>
    <row r="219" spans="1:11" hidden="1" x14ac:dyDescent="0.25">
      <c r="A219" s="337" t="s">
        <v>281</v>
      </c>
      <c r="B219" s="337" t="s">
        <v>124</v>
      </c>
      <c r="C219" s="396"/>
      <c r="D219" s="233"/>
      <c r="E219" s="339"/>
      <c r="F219" s="248"/>
      <c r="G219" s="297"/>
      <c r="I219" s="307"/>
    </row>
    <row r="220" spans="1:11" s="272" customFormat="1" x14ac:dyDescent="0.25">
      <c r="A220" s="387" t="s">
        <v>1174</v>
      </c>
      <c r="B220" s="387" t="s">
        <v>134</v>
      </c>
      <c r="C220" s="389">
        <v>256</v>
      </c>
      <c r="D220" s="233"/>
      <c r="E220" s="343">
        <v>0</v>
      </c>
      <c r="F220" s="248"/>
      <c r="G220" s="297"/>
      <c r="H220" s="137"/>
      <c r="I220" s="307"/>
      <c r="J220" s="137"/>
      <c r="K220" s="455"/>
    </row>
    <row r="221" spans="1:11" x14ac:dyDescent="0.25">
      <c r="A221" s="320" t="s">
        <v>1058</v>
      </c>
      <c r="B221" s="320" t="s">
        <v>126</v>
      </c>
      <c r="C221" s="354">
        <v>0</v>
      </c>
      <c r="D221" s="223"/>
      <c r="E221" s="322">
        <v>0</v>
      </c>
      <c r="F221" s="256"/>
      <c r="G221" s="297"/>
      <c r="I221" s="307"/>
    </row>
    <row r="222" spans="1:11" x14ac:dyDescent="0.25">
      <c r="A222" s="387" t="s">
        <v>1059</v>
      </c>
      <c r="B222" s="387" t="s">
        <v>284</v>
      </c>
      <c r="C222" s="389">
        <v>0</v>
      </c>
      <c r="D222" s="230"/>
      <c r="E222" s="343">
        <v>0</v>
      </c>
      <c r="F222" s="256"/>
      <c r="G222" s="297"/>
      <c r="I222" s="307"/>
    </row>
    <row r="223" spans="1:11" hidden="1" x14ac:dyDescent="0.25">
      <c r="A223" s="337" t="s">
        <v>285</v>
      </c>
      <c r="B223" s="337" t="s">
        <v>179</v>
      </c>
      <c r="C223" s="396"/>
      <c r="D223" s="233"/>
      <c r="E223" s="339"/>
      <c r="F223" s="256"/>
      <c r="G223" s="297"/>
      <c r="I223" s="307"/>
    </row>
    <row r="224" spans="1:11" ht="39" x14ac:dyDescent="0.25">
      <c r="A224" s="320" t="s">
        <v>1060</v>
      </c>
      <c r="B224" s="320" t="s">
        <v>287</v>
      </c>
      <c r="C224" s="354">
        <v>510</v>
      </c>
      <c r="D224" s="223"/>
      <c r="E224" s="322">
        <v>0</v>
      </c>
      <c r="F224" s="256" t="s">
        <v>1230</v>
      </c>
      <c r="G224" s="297"/>
      <c r="H224" s="256" t="s">
        <v>1230</v>
      </c>
      <c r="I224" s="307"/>
      <c r="J224" s="256" t="s">
        <v>1230</v>
      </c>
    </row>
    <row r="225" spans="1:11" ht="102.75" x14ac:dyDescent="0.25">
      <c r="A225" s="320" t="s">
        <v>1063</v>
      </c>
      <c r="B225" s="320" t="s">
        <v>289</v>
      </c>
      <c r="C225" s="354">
        <v>44661</v>
      </c>
      <c r="D225" s="217"/>
      <c r="E225" s="322">
        <v>21045</v>
      </c>
      <c r="F225" s="274" t="s">
        <v>1231</v>
      </c>
      <c r="G225" s="297">
        <v>21045</v>
      </c>
      <c r="H225" s="274" t="s">
        <v>1231</v>
      </c>
      <c r="I225" s="307">
        <v>21045</v>
      </c>
      <c r="J225" s="274" t="s">
        <v>1231</v>
      </c>
      <c r="K225" s="455">
        <v>21045</v>
      </c>
    </row>
    <row r="226" spans="1:11" hidden="1" x14ac:dyDescent="0.25">
      <c r="A226" s="387" t="s">
        <v>1061</v>
      </c>
      <c r="B226" s="387" t="s">
        <v>134</v>
      </c>
      <c r="C226" s="389"/>
      <c r="D226" s="230"/>
      <c r="E226" s="343"/>
      <c r="F226" s="256"/>
      <c r="G226" s="297"/>
      <c r="I226" s="307"/>
    </row>
    <row r="227" spans="1:11" x14ac:dyDescent="0.25">
      <c r="A227" s="138"/>
      <c r="B227" s="379" t="s">
        <v>139</v>
      </c>
      <c r="C227" s="397">
        <f>SUM(C220:C225)</f>
        <v>45427</v>
      </c>
      <c r="D227" s="234"/>
      <c r="E227" s="395">
        <f>SUM(E220:E225)</f>
        <v>21045</v>
      </c>
      <c r="F227" s="248"/>
      <c r="G227" s="296">
        <f>SUM(G220:G226)</f>
        <v>21045</v>
      </c>
      <c r="I227" s="306">
        <f>SUM(I220:I225)</f>
        <v>21045</v>
      </c>
      <c r="K227" s="454">
        <f>SUM(K220:K225)</f>
        <v>21045</v>
      </c>
    </row>
    <row r="228" spans="1:11" x14ac:dyDescent="0.25">
      <c r="A228" s="382"/>
      <c r="B228" s="320"/>
      <c r="C228" s="314"/>
      <c r="D228" s="215"/>
      <c r="E228" s="315"/>
      <c r="F228" s="248"/>
      <c r="G228" s="297"/>
      <c r="I228" s="307"/>
    </row>
    <row r="229" spans="1:11" hidden="1" x14ac:dyDescent="0.25">
      <c r="A229" s="386" t="s">
        <v>291</v>
      </c>
      <c r="B229" s="320"/>
      <c r="C229" s="323"/>
      <c r="D229" s="217"/>
      <c r="E229" s="322"/>
      <c r="F229" s="248"/>
      <c r="G229" s="297"/>
      <c r="I229" s="307"/>
    </row>
    <row r="230" spans="1:11" hidden="1" x14ac:dyDescent="0.25">
      <c r="A230" s="320" t="s">
        <v>292</v>
      </c>
      <c r="B230" s="320" t="s">
        <v>118</v>
      </c>
      <c r="C230" s="323"/>
      <c r="D230" s="217"/>
      <c r="E230" s="322"/>
      <c r="F230" s="248"/>
      <c r="G230" s="297"/>
      <c r="I230" s="307"/>
    </row>
    <row r="231" spans="1:11" hidden="1" x14ac:dyDescent="0.25">
      <c r="A231" s="320" t="s">
        <v>293</v>
      </c>
      <c r="B231" s="320" t="s">
        <v>120</v>
      </c>
      <c r="C231" s="323"/>
      <c r="D231" s="217"/>
      <c r="E231" s="322"/>
      <c r="F231" s="248"/>
      <c r="G231" s="297"/>
      <c r="I231" s="307"/>
    </row>
    <row r="232" spans="1:11" hidden="1" x14ac:dyDescent="0.25">
      <c r="A232" s="320" t="s">
        <v>294</v>
      </c>
      <c r="B232" s="320" t="s">
        <v>122</v>
      </c>
      <c r="C232" s="323"/>
      <c r="D232" s="217"/>
      <c r="E232" s="322"/>
      <c r="F232" s="248"/>
      <c r="G232" s="297"/>
      <c r="I232" s="307"/>
    </row>
    <row r="233" spans="1:11" hidden="1" x14ac:dyDescent="0.25">
      <c r="A233" s="320" t="s">
        <v>295</v>
      </c>
      <c r="B233" s="320" t="s">
        <v>124</v>
      </c>
      <c r="C233" s="323"/>
      <c r="D233" s="217"/>
      <c r="E233" s="322"/>
      <c r="F233" s="248"/>
      <c r="G233" s="297"/>
      <c r="I233" s="307"/>
    </row>
    <row r="234" spans="1:11" hidden="1" x14ac:dyDescent="0.25">
      <c r="A234" s="320" t="s">
        <v>296</v>
      </c>
      <c r="B234" s="320" t="s">
        <v>297</v>
      </c>
      <c r="C234" s="323"/>
      <c r="D234" s="217"/>
      <c r="E234" s="322"/>
      <c r="F234" s="248"/>
      <c r="G234" s="297"/>
      <c r="I234" s="307"/>
    </row>
    <row r="235" spans="1:11" hidden="1" x14ac:dyDescent="0.25">
      <c r="A235" s="320" t="s">
        <v>298</v>
      </c>
      <c r="B235" s="320" t="s">
        <v>134</v>
      </c>
      <c r="C235" s="323"/>
      <c r="D235" s="217"/>
      <c r="E235" s="322"/>
      <c r="F235" s="248"/>
      <c r="G235" s="297"/>
      <c r="I235" s="307"/>
    </row>
    <row r="236" spans="1:11" hidden="1" x14ac:dyDescent="0.25">
      <c r="A236" s="138"/>
      <c r="B236" s="382" t="s">
        <v>139</v>
      </c>
      <c r="C236" s="323"/>
      <c r="D236" s="217"/>
      <c r="E236" s="322"/>
      <c r="F236" s="248"/>
      <c r="G236" s="297"/>
      <c r="I236" s="307"/>
    </row>
    <row r="237" spans="1:11" hidden="1" x14ac:dyDescent="0.25">
      <c r="A237" s="382"/>
      <c r="B237" s="138"/>
      <c r="C237" s="314"/>
      <c r="D237" s="215"/>
      <c r="E237" s="315"/>
      <c r="F237" s="248"/>
      <c r="G237" s="297"/>
      <c r="I237" s="307"/>
    </row>
    <row r="238" spans="1:11" hidden="1" x14ac:dyDescent="0.25">
      <c r="A238" s="386" t="s">
        <v>299</v>
      </c>
      <c r="B238" s="320"/>
      <c r="C238" s="323"/>
      <c r="D238" s="217"/>
      <c r="E238" s="322"/>
      <c r="F238" s="248"/>
      <c r="G238" s="297"/>
      <c r="I238" s="307"/>
    </row>
    <row r="239" spans="1:11" hidden="1" x14ac:dyDescent="0.25">
      <c r="A239" s="320" t="s">
        <v>1062</v>
      </c>
      <c r="B239" s="320" t="s">
        <v>301</v>
      </c>
      <c r="C239" s="323"/>
      <c r="D239" s="217"/>
      <c r="E239" s="322"/>
      <c r="F239" s="248"/>
      <c r="G239" s="297"/>
      <c r="I239" s="307"/>
    </row>
    <row r="240" spans="1:11" hidden="1" x14ac:dyDescent="0.25">
      <c r="A240" s="320" t="s">
        <v>1064</v>
      </c>
      <c r="B240" s="320" t="s">
        <v>304</v>
      </c>
      <c r="C240" s="323"/>
      <c r="D240" s="217"/>
      <c r="E240" s="322"/>
      <c r="F240" s="248"/>
      <c r="G240" s="297"/>
      <c r="I240" s="307"/>
    </row>
    <row r="241" spans="1:9" hidden="1" x14ac:dyDescent="0.25">
      <c r="A241" s="320" t="s">
        <v>305</v>
      </c>
      <c r="B241" s="320" t="s">
        <v>126</v>
      </c>
      <c r="C241" s="323"/>
      <c r="D241" s="217"/>
      <c r="E241" s="322"/>
      <c r="F241" s="248"/>
      <c r="G241" s="297"/>
      <c r="I241" s="307"/>
    </row>
    <row r="242" spans="1:9" hidden="1" x14ac:dyDescent="0.25">
      <c r="A242" s="320" t="s">
        <v>1065</v>
      </c>
      <c r="B242" s="320" t="s">
        <v>126</v>
      </c>
      <c r="C242" s="323"/>
      <c r="D242" s="217"/>
      <c r="E242" s="322"/>
      <c r="F242" s="248"/>
      <c r="G242" s="297"/>
      <c r="I242" s="307"/>
    </row>
    <row r="243" spans="1:9" hidden="1" x14ac:dyDescent="0.25">
      <c r="A243" s="138"/>
      <c r="B243" s="379" t="s">
        <v>139</v>
      </c>
      <c r="C243" s="377"/>
      <c r="D243" s="229"/>
      <c r="E243" s="378"/>
      <c r="F243" s="248"/>
      <c r="G243" s="297"/>
      <c r="I243" s="307"/>
    </row>
    <row r="244" spans="1:9" hidden="1" x14ac:dyDescent="0.25">
      <c r="A244" s="386"/>
      <c r="B244" s="320"/>
      <c r="C244" s="314"/>
      <c r="D244" s="215"/>
      <c r="E244" s="315"/>
      <c r="F244" s="248"/>
      <c r="G244" s="297"/>
      <c r="I244" s="307"/>
    </row>
    <row r="245" spans="1:9" hidden="1" x14ac:dyDescent="0.25">
      <c r="A245" s="386" t="s">
        <v>104</v>
      </c>
      <c r="B245" s="138"/>
      <c r="C245" s="323"/>
      <c r="D245" s="217"/>
      <c r="E245" s="322"/>
      <c r="F245" s="248"/>
      <c r="G245" s="297"/>
      <c r="I245" s="307"/>
    </row>
    <row r="246" spans="1:9" hidden="1" x14ac:dyDescent="0.25">
      <c r="A246" s="398" t="s">
        <v>1066</v>
      </c>
      <c r="B246" s="320" t="s">
        <v>126</v>
      </c>
      <c r="C246" s="323"/>
      <c r="D246" s="217"/>
      <c r="E246" s="322"/>
      <c r="F246" s="248"/>
      <c r="G246" s="297"/>
      <c r="I246" s="307"/>
    </row>
    <row r="247" spans="1:9" hidden="1" x14ac:dyDescent="0.25">
      <c r="A247" s="138"/>
      <c r="B247" s="379" t="s">
        <v>139</v>
      </c>
      <c r="C247" s="361"/>
      <c r="D247" s="231"/>
      <c r="E247" s="362"/>
      <c r="F247" s="248"/>
      <c r="G247" s="297"/>
      <c r="I247" s="307"/>
    </row>
    <row r="248" spans="1:9" hidden="1" x14ac:dyDescent="0.25">
      <c r="A248" s="386"/>
      <c r="B248" s="320"/>
      <c r="C248" s="314"/>
      <c r="D248" s="215"/>
      <c r="E248" s="315"/>
      <c r="F248" s="248"/>
      <c r="G248" s="297"/>
      <c r="I248" s="307"/>
    </row>
    <row r="249" spans="1:9" hidden="1" x14ac:dyDescent="0.25">
      <c r="A249" s="399" t="s">
        <v>307</v>
      </c>
      <c r="B249" s="337"/>
      <c r="C249" s="338"/>
      <c r="D249" s="221"/>
      <c r="E249" s="339"/>
      <c r="F249" s="248"/>
      <c r="G249" s="297"/>
      <c r="I249" s="307"/>
    </row>
    <row r="250" spans="1:9" hidden="1" x14ac:dyDescent="0.25">
      <c r="A250" s="400" t="s">
        <v>308</v>
      </c>
      <c r="B250" s="337" t="s">
        <v>33</v>
      </c>
      <c r="C250" s="396"/>
      <c r="D250" s="233"/>
      <c r="E250" s="339"/>
      <c r="F250" s="248"/>
      <c r="G250" s="297"/>
      <c r="I250" s="307"/>
    </row>
    <row r="251" spans="1:9" hidden="1" x14ac:dyDescent="0.25">
      <c r="A251" s="400" t="s">
        <v>309</v>
      </c>
      <c r="B251" s="337" t="s">
        <v>126</v>
      </c>
      <c r="C251" s="396"/>
      <c r="D251" s="233"/>
      <c r="E251" s="339"/>
      <c r="F251" s="248"/>
      <c r="G251" s="297"/>
      <c r="I251" s="307"/>
    </row>
    <row r="252" spans="1:9" hidden="1" x14ac:dyDescent="0.25">
      <c r="A252" s="400"/>
      <c r="B252" s="401" t="s">
        <v>139</v>
      </c>
      <c r="C252" s="402"/>
      <c r="D252" s="235"/>
      <c r="E252" s="403"/>
      <c r="F252" s="248"/>
      <c r="G252" s="297"/>
      <c r="I252" s="307"/>
    </row>
    <row r="253" spans="1:9" hidden="1" x14ac:dyDescent="0.25">
      <c r="A253" s="382"/>
      <c r="B253" s="138"/>
      <c r="C253" s="404"/>
      <c r="D253" s="236"/>
      <c r="E253" s="315"/>
      <c r="F253" s="248"/>
      <c r="G253" s="297"/>
      <c r="I253" s="307"/>
    </row>
    <row r="254" spans="1:9" x14ac:dyDescent="0.25">
      <c r="A254" s="386" t="s">
        <v>310</v>
      </c>
      <c r="B254" s="320"/>
      <c r="C254" s="354"/>
      <c r="D254" s="223"/>
      <c r="E254" s="322"/>
      <c r="F254" s="248"/>
      <c r="G254" s="297"/>
      <c r="I254" s="307"/>
    </row>
    <row r="255" spans="1:9" hidden="1" x14ac:dyDescent="0.25">
      <c r="A255" s="337" t="s">
        <v>311</v>
      </c>
      <c r="B255" s="337" t="s">
        <v>118</v>
      </c>
      <c r="C255" s="396"/>
      <c r="D255" s="233"/>
      <c r="E255" s="339"/>
      <c r="F255" s="248"/>
      <c r="G255" s="297"/>
      <c r="I255" s="307"/>
    </row>
    <row r="256" spans="1:9" hidden="1" x14ac:dyDescent="0.25">
      <c r="A256" s="320" t="s">
        <v>1067</v>
      </c>
      <c r="B256" s="320" t="s">
        <v>120</v>
      </c>
      <c r="C256" s="354"/>
      <c r="D256" s="223"/>
      <c r="E256" s="322"/>
      <c r="F256" s="248"/>
      <c r="G256" s="297"/>
      <c r="I256" s="307"/>
    </row>
    <row r="257" spans="1:11" ht="26.25" x14ac:dyDescent="0.25">
      <c r="A257" s="387" t="s">
        <v>1434</v>
      </c>
      <c r="B257" s="387" t="s">
        <v>1435</v>
      </c>
      <c r="C257" s="389"/>
      <c r="D257" s="230"/>
      <c r="E257" s="343">
        <v>1000</v>
      </c>
      <c r="F257" s="248" t="s">
        <v>1436</v>
      </c>
      <c r="G257" s="297">
        <v>1000</v>
      </c>
      <c r="H257" s="248" t="s">
        <v>1436</v>
      </c>
      <c r="I257" s="307">
        <v>1000</v>
      </c>
      <c r="J257" s="248" t="s">
        <v>1436</v>
      </c>
      <c r="K257" s="455">
        <v>1000</v>
      </c>
    </row>
    <row r="258" spans="1:11" hidden="1" x14ac:dyDescent="0.25">
      <c r="A258" s="337" t="s">
        <v>314</v>
      </c>
      <c r="B258" s="337" t="s">
        <v>124</v>
      </c>
      <c r="C258" s="396"/>
      <c r="D258" s="233"/>
      <c r="E258" s="339"/>
      <c r="F258" s="248"/>
      <c r="G258" s="297"/>
      <c r="I258" s="307"/>
    </row>
    <row r="259" spans="1:11" ht="39" x14ac:dyDescent="0.25">
      <c r="A259" s="320" t="s">
        <v>1068</v>
      </c>
      <c r="B259" s="320" t="s">
        <v>126</v>
      </c>
      <c r="C259" s="354">
        <v>968</v>
      </c>
      <c r="D259" s="223"/>
      <c r="E259" s="322">
        <v>2200</v>
      </c>
      <c r="F259" s="279" t="s">
        <v>1324</v>
      </c>
      <c r="G259" s="297">
        <v>2200</v>
      </c>
      <c r="H259" s="137" t="s">
        <v>1372</v>
      </c>
      <c r="I259" s="307">
        <v>0</v>
      </c>
      <c r="J259" s="137" t="s">
        <v>1405</v>
      </c>
      <c r="K259" s="455">
        <v>0</v>
      </c>
    </row>
    <row r="260" spans="1:11" x14ac:dyDescent="0.25">
      <c r="A260" s="387" t="s">
        <v>316</v>
      </c>
      <c r="B260" s="387" t="s">
        <v>812</v>
      </c>
      <c r="C260" s="389">
        <v>4699</v>
      </c>
      <c r="D260" s="230"/>
      <c r="E260" s="343"/>
      <c r="F260" s="256"/>
      <c r="G260" s="297">
        <v>0</v>
      </c>
      <c r="I260" s="307">
        <v>0</v>
      </c>
      <c r="K260" s="455">
        <v>0</v>
      </c>
    </row>
    <row r="261" spans="1:11" hidden="1" x14ac:dyDescent="0.25">
      <c r="A261" s="337" t="s">
        <v>318</v>
      </c>
      <c r="B261" s="337" t="s">
        <v>319</v>
      </c>
      <c r="C261" s="396"/>
      <c r="D261" s="233"/>
      <c r="E261" s="339"/>
      <c r="F261" s="248"/>
      <c r="G261" s="297"/>
      <c r="I261" s="307"/>
    </row>
    <row r="262" spans="1:11" hidden="1" x14ac:dyDescent="0.25">
      <c r="A262" s="337" t="s">
        <v>320</v>
      </c>
      <c r="B262" s="337" t="s">
        <v>321</v>
      </c>
      <c r="C262" s="396"/>
      <c r="D262" s="233"/>
      <c r="E262" s="339"/>
      <c r="F262" s="248"/>
      <c r="G262" s="297"/>
      <c r="I262" s="307"/>
    </row>
    <row r="263" spans="1:11" x14ac:dyDescent="0.25">
      <c r="A263" s="387" t="s">
        <v>1141</v>
      </c>
      <c r="B263" s="387" t="s">
        <v>134</v>
      </c>
      <c r="C263" s="389">
        <v>3054</v>
      </c>
      <c r="D263" s="230"/>
      <c r="E263" s="343">
        <v>0</v>
      </c>
      <c r="F263" s="252"/>
      <c r="G263" s="297">
        <v>0</v>
      </c>
      <c r="I263" s="307">
        <v>0</v>
      </c>
      <c r="K263" s="455">
        <v>0</v>
      </c>
    </row>
    <row r="264" spans="1:11" x14ac:dyDescent="0.25">
      <c r="A264" s="387" t="s">
        <v>1140</v>
      </c>
      <c r="B264" s="387" t="s">
        <v>323</v>
      </c>
      <c r="C264" s="389">
        <v>2000</v>
      </c>
      <c r="D264" s="230"/>
      <c r="E264" s="343">
        <v>0</v>
      </c>
      <c r="F264" s="252"/>
      <c r="G264" s="297">
        <v>0</v>
      </c>
      <c r="I264" s="307">
        <v>0</v>
      </c>
      <c r="K264" s="455">
        <v>0</v>
      </c>
    </row>
    <row r="265" spans="1:11" hidden="1" x14ac:dyDescent="0.25">
      <c r="A265" s="337"/>
      <c r="B265" s="337" t="s">
        <v>324</v>
      </c>
      <c r="C265" s="396"/>
      <c r="D265" s="233"/>
      <c r="E265" s="339"/>
      <c r="F265" s="248"/>
      <c r="G265" s="297"/>
      <c r="I265" s="307"/>
    </row>
    <row r="266" spans="1:11" hidden="1" x14ac:dyDescent="0.25">
      <c r="A266" s="337"/>
      <c r="B266" s="290" t="s">
        <v>325</v>
      </c>
      <c r="C266" s="396"/>
      <c r="D266" s="233"/>
      <c r="E266" s="339"/>
      <c r="F266" s="248"/>
      <c r="G266" s="297"/>
      <c r="I266" s="307"/>
    </row>
    <row r="267" spans="1:11" hidden="1" x14ac:dyDescent="0.25">
      <c r="A267" s="320" t="s">
        <v>1069</v>
      </c>
      <c r="B267" s="320" t="s">
        <v>822</v>
      </c>
      <c r="C267" s="396"/>
      <c r="D267" s="233"/>
      <c r="E267" s="322"/>
      <c r="F267" s="248"/>
      <c r="G267" s="297"/>
      <c r="I267" s="307"/>
    </row>
    <row r="268" spans="1:11" x14ac:dyDescent="0.25">
      <c r="A268" s="138"/>
      <c r="B268" s="379" t="s">
        <v>139</v>
      </c>
      <c r="C268" s="397">
        <f>SUM(C257:C267)</f>
        <v>10721</v>
      </c>
      <c r="D268" s="234"/>
      <c r="E268" s="405">
        <f>SUM(E257:E267)</f>
        <v>3200</v>
      </c>
      <c r="F268" s="248"/>
      <c r="G268" s="296">
        <f>SUM(G257:G267)</f>
        <v>3200</v>
      </c>
      <c r="I268" s="306">
        <f>SUM(I257:I264)</f>
        <v>1000</v>
      </c>
      <c r="K268" s="454">
        <f>SUM(K257:K264)</f>
        <v>1000</v>
      </c>
    </row>
    <row r="269" spans="1:11" s="19" customFormat="1" x14ac:dyDescent="0.25">
      <c r="A269" s="382"/>
      <c r="B269" s="320"/>
      <c r="C269" s="314"/>
      <c r="D269" s="215"/>
      <c r="E269" s="315"/>
      <c r="F269" s="248"/>
      <c r="G269" s="299"/>
      <c r="H269" s="291"/>
      <c r="I269" s="309"/>
      <c r="J269" s="291"/>
      <c r="K269" s="457"/>
    </row>
    <row r="270" spans="1:11" s="19" customFormat="1" hidden="1" x14ac:dyDescent="0.25">
      <c r="A270" s="406" t="s">
        <v>326</v>
      </c>
      <c r="B270" s="332"/>
      <c r="C270" s="407"/>
      <c r="D270" s="237"/>
      <c r="E270" s="408"/>
      <c r="F270" s="254"/>
      <c r="G270" s="299"/>
      <c r="H270" s="291"/>
      <c r="I270" s="309"/>
      <c r="J270" s="291"/>
      <c r="K270" s="457"/>
    </row>
    <row r="271" spans="1:11" s="19" customFormat="1" hidden="1" x14ac:dyDescent="0.25">
      <c r="A271" s="237" t="s">
        <v>327</v>
      </c>
      <c r="B271" s="332" t="s">
        <v>328</v>
      </c>
      <c r="C271" s="338"/>
      <c r="D271" s="221"/>
      <c r="E271" s="339"/>
      <c r="F271" s="254"/>
      <c r="G271" s="299"/>
      <c r="H271" s="291"/>
      <c r="I271" s="309"/>
      <c r="J271" s="291"/>
      <c r="K271" s="457"/>
    </row>
    <row r="272" spans="1:11" s="19" customFormat="1" hidden="1" x14ac:dyDescent="0.25">
      <c r="A272" s="237" t="s">
        <v>329</v>
      </c>
      <c r="B272" s="332" t="s">
        <v>330</v>
      </c>
      <c r="C272" s="338"/>
      <c r="D272" s="221"/>
      <c r="E272" s="339"/>
      <c r="F272" s="254"/>
      <c r="G272" s="299"/>
      <c r="H272" s="291"/>
      <c r="I272" s="309"/>
      <c r="J272" s="291"/>
      <c r="K272" s="457"/>
    </row>
    <row r="273" spans="1:11" hidden="1" x14ac:dyDescent="0.25">
      <c r="A273" s="237"/>
      <c r="B273" s="409" t="s">
        <v>139</v>
      </c>
      <c r="C273" s="402"/>
      <c r="D273" s="235"/>
      <c r="E273" s="403"/>
      <c r="F273" s="254"/>
      <c r="G273" s="297"/>
      <c r="I273" s="307"/>
    </row>
    <row r="274" spans="1:11" hidden="1" x14ac:dyDescent="0.25">
      <c r="A274" s="382"/>
      <c r="B274" s="138"/>
      <c r="C274" s="323"/>
      <c r="D274" s="217"/>
      <c r="E274" s="322"/>
      <c r="F274" s="248"/>
      <c r="G274" s="297"/>
      <c r="I274" s="307"/>
    </row>
    <row r="275" spans="1:11" hidden="1" x14ac:dyDescent="0.25">
      <c r="A275" s="382"/>
      <c r="B275" s="138"/>
      <c r="C275" s="314"/>
      <c r="D275" s="215"/>
      <c r="E275" s="315"/>
      <c r="F275" s="248"/>
      <c r="G275" s="297"/>
      <c r="I275" s="307"/>
    </row>
    <row r="276" spans="1:11" x14ac:dyDescent="0.25">
      <c r="A276" s="386" t="s">
        <v>331</v>
      </c>
      <c r="B276" s="320"/>
      <c r="C276" s="323"/>
      <c r="D276" s="217"/>
      <c r="E276" s="322"/>
      <c r="F276" s="248"/>
      <c r="G276" s="297"/>
      <c r="I276" s="307"/>
    </row>
    <row r="277" spans="1:11" hidden="1" x14ac:dyDescent="0.25">
      <c r="A277" s="320" t="s">
        <v>332</v>
      </c>
      <c r="B277" s="320" t="s">
        <v>120</v>
      </c>
      <c r="C277" s="323"/>
      <c r="D277" s="217"/>
      <c r="E277" s="322"/>
      <c r="F277" s="248"/>
      <c r="G277" s="297"/>
      <c r="I277" s="307"/>
    </row>
    <row r="278" spans="1:11" hidden="1" x14ac:dyDescent="0.25">
      <c r="A278" s="320" t="s">
        <v>333</v>
      </c>
      <c r="B278" s="320" t="s">
        <v>122</v>
      </c>
      <c r="C278" s="323"/>
      <c r="D278" s="217"/>
      <c r="E278" s="322"/>
      <c r="F278" s="248"/>
      <c r="G278" s="297"/>
      <c r="I278" s="307"/>
    </row>
    <row r="279" spans="1:11" x14ac:dyDescent="0.25">
      <c r="A279" s="320" t="s">
        <v>1147</v>
      </c>
      <c r="B279" s="320" t="s">
        <v>179</v>
      </c>
      <c r="C279" s="323">
        <v>0</v>
      </c>
      <c r="D279" s="217"/>
      <c r="E279" s="322">
        <v>0</v>
      </c>
      <c r="F279" s="248"/>
      <c r="G279" s="297">
        <v>0</v>
      </c>
      <c r="I279" s="307">
        <v>0</v>
      </c>
      <c r="K279" s="455">
        <v>0</v>
      </c>
    </row>
    <row r="280" spans="1:11" ht="26.25" x14ac:dyDescent="0.25">
      <c r="A280" s="320" t="s">
        <v>1070</v>
      </c>
      <c r="B280" s="320" t="s">
        <v>126</v>
      </c>
      <c r="C280" s="323">
        <v>432</v>
      </c>
      <c r="D280" s="217"/>
      <c r="E280" s="322">
        <v>1200</v>
      </c>
      <c r="F280" s="248"/>
      <c r="G280" s="297">
        <v>0</v>
      </c>
      <c r="H280" s="137" t="s">
        <v>1373</v>
      </c>
      <c r="I280" s="307">
        <v>0</v>
      </c>
      <c r="J280" s="137" t="s">
        <v>1373</v>
      </c>
      <c r="K280" s="455">
        <v>1200</v>
      </c>
    </row>
    <row r="281" spans="1:11" x14ac:dyDescent="0.25">
      <c r="A281" s="138"/>
      <c r="B281" s="379" t="s">
        <v>139</v>
      </c>
      <c r="C281" s="377">
        <f>SUM(C279:C280)</f>
        <v>432</v>
      </c>
      <c r="D281" s="229"/>
      <c r="E281" s="378">
        <f>SUM(E279:E280)</f>
        <v>1200</v>
      </c>
      <c r="F281" s="248"/>
      <c r="G281" s="296">
        <f>SUM(G279:G280)</f>
        <v>0</v>
      </c>
      <c r="I281" s="306">
        <f>SUM(I279:I280)</f>
        <v>0</v>
      </c>
      <c r="K281" s="454">
        <f>SUM(K279:K280)</f>
        <v>1200</v>
      </c>
    </row>
    <row r="282" spans="1:11" s="18" customFormat="1" x14ac:dyDescent="0.25">
      <c r="A282" s="138"/>
      <c r="B282" s="379"/>
      <c r="C282" s="377"/>
      <c r="D282" s="229"/>
      <c r="E282" s="378"/>
      <c r="F282" s="248"/>
      <c r="G282" s="299"/>
      <c r="H282" s="290"/>
      <c r="I282" s="309"/>
      <c r="J282" s="290"/>
      <c r="K282" s="457"/>
    </row>
    <row r="283" spans="1:11" s="18" customFormat="1" x14ac:dyDescent="0.25">
      <c r="A283" s="386" t="s">
        <v>1124</v>
      </c>
      <c r="B283" s="410"/>
      <c r="C283" s="411"/>
      <c r="D283" s="238"/>
      <c r="E283" s="412"/>
      <c r="F283" s="254"/>
      <c r="G283" s="299"/>
      <c r="H283" s="290"/>
      <c r="I283" s="309"/>
      <c r="J283" s="290"/>
      <c r="K283" s="457"/>
    </row>
    <row r="284" spans="1:11" s="18" customFormat="1" x14ac:dyDescent="0.25">
      <c r="A284" s="413" t="s">
        <v>1125</v>
      </c>
      <c r="B284" s="387" t="s">
        <v>344</v>
      </c>
      <c r="C284" s="341">
        <v>2047</v>
      </c>
      <c r="D284" s="222"/>
      <c r="E284" s="343"/>
      <c r="F284" s="252"/>
      <c r="G284" s="299"/>
      <c r="H284" s="290"/>
      <c r="I284" s="309"/>
      <c r="J284" s="290"/>
      <c r="K284" s="457"/>
    </row>
    <row r="285" spans="1:11" s="18" customFormat="1" x14ac:dyDescent="0.25">
      <c r="A285" s="413" t="s">
        <v>1126</v>
      </c>
      <c r="B285" s="387" t="s">
        <v>179</v>
      </c>
      <c r="C285" s="341">
        <v>27351</v>
      </c>
      <c r="D285" s="222"/>
      <c r="E285" s="343"/>
      <c r="F285" s="254"/>
      <c r="G285" s="299"/>
      <c r="H285" s="290"/>
      <c r="I285" s="309"/>
      <c r="J285" s="290"/>
      <c r="K285" s="457"/>
    </row>
    <row r="286" spans="1:11" x14ac:dyDescent="0.25">
      <c r="A286" s="413"/>
      <c r="B286" s="410" t="s">
        <v>139</v>
      </c>
      <c r="C286" s="411">
        <f>SUM(C284:C285)</f>
        <v>29398</v>
      </c>
      <c r="D286" s="238"/>
      <c r="E286" s="412">
        <f>SUM(E284:E285)</f>
        <v>0</v>
      </c>
      <c r="F286" s="252" t="s">
        <v>1374</v>
      </c>
      <c r="G286" s="297">
        <v>0</v>
      </c>
      <c r="I286" s="307">
        <v>0</v>
      </c>
      <c r="K286" s="455">
        <v>0</v>
      </c>
    </row>
    <row r="287" spans="1:11" x14ac:dyDescent="0.25">
      <c r="A287" s="413"/>
      <c r="B287" s="320"/>
      <c r="C287" s="377"/>
      <c r="D287" s="229"/>
      <c r="E287" s="378"/>
      <c r="F287" s="248"/>
      <c r="G287" s="297"/>
      <c r="I287" s="307"/>
    </row>
    <row r="288" spans="1:11" x14ac:dyDescent="0.25">
      <c r="A288" s="382"/>
      <c r="B288" s="138"/>
      <c r="C288" s="314"/>
      <c r="D288" s="215"/>
      <c r="E288" s="315"/>
      <c r="F288" s="248"/>
      <c r="G288" s="297"/>
      <c r="I288" s="307"/>
    </row>
    <row r="289" spans="1:23" x14ac:dyDescent="0.25">
      <c r="A289" s="373" t="s">
        <v>338</v>
      </c>
      <c r="B289" s="328"/>
      <c r="C289" s="323"/>
      <c r="D289" s="217"/>
      <c r="E289" s="322"/>
      <c r="F289" s="248"/>
      <c r="G289" s="297"/>
      <c r="I289" s="307"/>
    </row>
    <row r="290" spans="1:23" ht="102.75" x14ac:dyDescent="0.25">
      <c r="A290" s="340" t="s">
        <v>339</v>
      </c>
      <c r="B290" s="340" t="s">
        <v>118</v>
      </c>
      <c r="C290" s="414"/>
      <c r="D290" s="282" t="s">
        <v>1237</v>
      </c>
      <c r="E290" s="415"/>
      <c r="F290" s="282" t="s">
        <v>1375</v>
      </c>
      <c r="G290" s="297"/>
      <c r="H290" s="282" t="s">
        <v>1375</v>
      </c>
      <c r="I290" s="307"/>
      <c r="J290" s="282" t="s">
        <v>1375</v>
      </c>
    </row>
    <row r="291" spans="1:23" x14ac:dyDescent="0.25">
      <c r="A291" s="340" t="s">
        <v>340</v>
      </c>
      <c r="B291" s="340" t="s">
        <v>120</v>
      </c>
      <c r="C291" s="416" t="s">
        <v>1236</v>
      </c>
      <c r="D291" s="217"/>
      <c r="E291" s="417">
        <v>0</v>
      </c>
      <c r="F291" s="248"/>
      <c r="G291" s="297">
        <v>0</v>
      </c>
      <c r="I291" s="307">
        <v>0</v>
      </c>
      <c r="K291" s="455">
        <v>0</v>
      </c>
    </row>
    <row r="292" spans="1:23" hidden="1" x14ac:dyDescent="0.25">
      <c r="A292" s="332" t="s">
        <v>341</v>
      </c>
      <c r="B292" s="332" t="s">
        <v>122</v>
      </c>
      <c r="C292" s="416" t="s">
        <v>1236</v>
      </c>
      <c r="D292" s="221"/>
      <c r="E292" s="418" t="s">
        <v>1236</v>
      </c>
      <c r="F292" s="248"/>
      <c r="G292" s="297"/>
      <c r="I292" s="307"/>
    </row>
    <row r="293" spans="1:23" ht="39" x14ac:dyDescent="0.25">
      <c r="A293" s="328" t="s">
        <v>1071</v>
      </c>
      <c r="B293" s="328" t="s">
        <v>126</v>
      </c>
      <c r="C293" s="346">
        <v>2778</v>
      </c>
      <c r="D293" s="217"/>
      <c r="E293" s="419">
        <v>2200</v>
      </c>
      <c r="F293" s="256" t="s">
        <v>1376</v>
      </c>
      <c r="G293" s="297">
        <v>2200</v>
      </c>
      <c r="H293" s="256" t="s">
        <v>1376</v>
      </c>
      <c r="I293" s="307">
        <v>2200</v>
      </c>
      <c r="J293" s="256" t="s">
        <v>1376</v>
      </c>
      <c r="K293" s="455">
        <v>2200</v>
      </c>
    </row>
    <row r="294" spans="1:23" x14ac:dyDescent="0.25">
      <c r="A294" s="328" t="s">
        <v>1072</v>
      </c>
      <c r="B294" s="328" t="s">
        <v>344</v>
      </c>
      <c r="C294" s="346">
        <v>5867</v>
      </c>
      <c r="D294" s="217"/>
      <c r="E294" s="419">
        <v>5000</v>
      </c>
      <c r="F294" s="248"/>
      <c r="G294" s="297">
        <v>5000</v>
      </c>
      <c r="I294" s="307">
        <v>5000</v>
      </c>
      <c r="K294" s="455">
        <v>5000</v>
      </c>
    </row>
    <row r="295" spans="1:23" x14ac:dyDescent="0.25">
      <c r="A295" s="328" t="s">
        <v>1073</v>
      </c>
      <c r="B295" s="328" t="s">
        <v>346</v>
      </c>
      <c r="C295" s="346">
        <v>2044</v>
      </c>
      <c r="D295" s="217"/>
      <c r="E295" s="419">
        <v>3000</v>
      </c>
      <c r="F295" s="248"/>
      <c r="G295" s="297">
        <v>3000</v>
      </c>
      <c r="I295" s="307">
        <v>3000</v>
      </c>
      <c r="K295" s="455">
        <v>3000</v>
      </c>
    </row>
    <row r="296" spans="1:23" x14ac:dyDescent="0.25">
      <c r="A296" s="328" t="s">
        <v>1074</v>
      </c>
      <c r="B296" s="328" t="s">
        <v>203</v>
      </c>
      <c r="C296" s="346">
        <v>102</v>
      </c>
      <c r="D296" s="217"/>
      <c r="E296" s="419">
        <v>100</v>
      </c>
      <c r="F296" s="247"/>
      <c r="G296" s="297">
        <v>100</v>
      </c>
      <c r="I296" s="307">
        <v>100</v>
      </c>
      <c r="K296" s="455">
        <v>100</v>
      </c>
    </row>
    <row r="297" spans="1:23" x14ac:dyDescent="0.25">
      <c r="A297" s="328" t="s">
        <v>1075</v>
      </c>
      <c r="B297" s="328" t="s">
        <v>349</v>
      </c>
      <c r="C297" s="346">
        <v>260</v>
      </c>
      <c r="D297" s="217"/>
      <c r="E297" s="415">
        <v>250</v>
      </c>
      <c r="F297" s="256"/>
      <c r="G297" s="297">
        <v>250</v>
      </c>
      <c r="I297" s="307">
        <v>250</v>
      </c>
      <c r="K297" s="455">
        <v>250</v>
      </c>
    </row>
    <row r="298" spans="1:23" ht="26.25" hidden="1" x14ac:dyDescent="0.25">
      <c r="A298" s="259" t="s">
        <v>1122</v>
      </c>
      <c r="B298" s="259" t="s">
        <v>132</v>
      </c>
      <c r="C298" s="323"/>
      <c r="D298" s="217"/>
      <c r="E298" s="322"/>
      <c r="F298" s="248"/>
      <c r="G298" s="297"/>
      <c r="I298" s="307"/>
    </row>
    <row r="299" spans="1:23" x14ac:dyDescent="0.25">
      <c r="A299" s="259"/>
      <c r="B299" s="259"/>
      <c r="C299" s="323"/>
      <c r="D299" s="217"/>
      <c r="E299" s="322"/>
      <c r="F299" s="248"/>
      <c r="G299" s="297"/>
      <c r="I299" s="307"/>
    </row>
    <row r="300" spans="1:23" customFormat="1" x14ac:dyDescent="0.25">
      <c r="A300" s="327"/>
      <c r="B300" s="393" t="s">
        <v>139</v>
      </c>
      <c r="C300" s="377">
        <f>SUM(C290:C298)</f>
        <v>11051</v>
      </c>
      <c r="D300" s="229"/>
      <c r="E300" s="378">
        <f>SUM(E290:E298)</f>
        <v>10550</v>
      </c>
      <c r="F300" s="278"/>
      <c r="G300" s="296">
        <f>SUM(G290:G299)</f>
        <v>10550</v>
      </c>
      <c r="H300" s="137"/>
      <c r="I300" s="306">
        <f>SUM(I290:I297)</f>
        <v>10550</v>
      </c>
      <c r="J300" s="137"/>
      <c r="K300" s="454">
        <f>SUM(K293:K299)</f>
        <v>10550</v>
      </c>
      <c r="L300" s="286"/>
      <c r="M300" s="286"/>
      <c r="N300" s="286"/>
      <c r="O300" s="286"/>
      <c r="P300" s="286"/>
      <c r="Q300" s="286"/>
      <c r="R300" s="286"/>
      <c r="S300" s="286"/>
      <c r="T300" s="286"/>
      <c r="U300" s="286"/>
      <c r="V300" s="286"/>
      <c r="W300" s="286"/>
    </row>
    <row r="301" spans="1:23" customFormat="1" x14ac:dyDescent="0.25">
      <c r="A301" s="327"/>
      <c r="B301" s="393"/>
      <c r="C301" s="377"/>
      <c r="D301" s="229"/>
      <c r="E301" s="378"/>
      <c r="F301" s="259"/>
      <c r="G301" s="297"/>
      <c r="H301" s="137"/>
      <c r="I301" s="307"/>
      <c r="J301" s="137"/>
      <c r="K301" s="455"/>
      <c r="L301" s="286"/>
      <c r="M301" s="286"/>
      <c r="N301" s="286"/>
      <c r="O301" s="286"/>
      <c r="P301" s="286"/>
      <c r="Q301" s="286"/>
      <c r="R301" s="286"/>
      <c r="S301" s="286"/>
      <c r="T301" s="286"/>
      <c r="U301" s="286"/>
      <c r="V301" s="286"/>
      <c r="W301" s="286"/>
    </row>
    <row r="302" spans="1:23" customFormat="1" hidden="1" x14ac:dyDescent="0.25">
      <c r="A302" s="373" t="s">
        <v>1131</v>
      </c>
      <c r="B302" s="328"/>
      <c r="C302" s="323"/>
      <c r="D302" s="217"/>
      <c r="E302" s="420"/>
      <c r="F302" s="248"/>
      <c r="G302" s="297"/>
      <c r="H302" s="137"/>
      <c r="I302" s="307"/>
      <c r="J302" s="137"/>
      <c r="K302" s="455"/>
      <c r="L302" s="286"/>
      <c r="M302" s="286"/>
      <c r="N302" s="286"/>
      <c r="O302" s="286"/>
      <c r="P302" s="286"/>
      <c r="Q302" s="286"/>
      <c r="R302" s="286"/>
      <c r="S302" s="286"/>
      <c r="T302" s="286"/>
      <c r="U302" s="286"/>
      <c r="V302" s="286"/>
      <c r="W302" s="286"/>
    </row>
    <row r="303" spans="1:23" customFormat="1" hidden="1" x14ac:dyDescent="0.25">
      <c r="A303" s="421" t="s">
        <v>1076</v>
      </c>
      <c r="B303" s="328" t="s">
        <v>823</v>
      </c>
      <c r="C303" s="323"/>
      <c r="D303" s="217"/>
      <c r="E303" s="420"/>
      <c r="F303" s="248"/>
      <c r="G303" s="297"/>
      <c r="H303" s="137"/>
      <c r="I303" s="307"/>
      <c r="J303" s="137"/>
      <c r="K303" s="455"/>
      <c r="L303" s="286"/>
      <c r="M303" s="286"/>
      <c r="N303" s="286"/>
      <c r="O303" s="286"/>
      <c r="P303" s="286"/>
      <c r="Q303" s="286"/>
      <c r="R303" s="286"/>
      <c r="S303" s="286"/>
      <c r="T303" s="286"/>
      <c r="U303" s="286"/>
      <c r="V303" s="286"/>
      <c r="W303" s="286"/>
    </row>
    <row r="304" spans="1:23" customFormat="1" hidden="1" x14ac:dyDescent="0.25">
      <c r="A304" s="413" t="s">
        <v>1077</v>
      </c>
      <c r="B304" s="328" t="s">
        <v>824</v>
      </c>
      <c r="C304" s="323"/>
      <c r="D304" s="217"/>
      <c r="E304" s="420"/>
      <c r="F304" s="248"/>
      <c r="G304" s="297"/>
      <c r="H304" s="137"/>
      <c r="I304" s="307"/>
      <c r="J304" s="137"/>
      <c r="K304" s="455"/>
      <c r="L304" s="286"/>
      <c r="M304" s="286"/>
      <c r="N304" s="286"/>
      <c r="O304" s="286"/>
      <c r="P304" s="286"/>
      <c r="Q304" s="286"/>
      <c r="R304" s="286"/>
      <c r="S304" s="286"/>
      <c r="T304" s="286"/>
      <c r="U304" s="286"/>
      <c r="V304" s="286"/>
      <c r="W304" s="286"/>
    </row>
    <row r="305" spans="1:23" customFormat="1" hidden="1" x14ac:dyDescent="0.25">
      <c r="A305" s="413" t="s">
        <v>1078</v>
      </c>
      <c r="B305" s="328" t="s">
        <v>392</v>
      </c>
      <c r="C305" s="323"/>
      <c r="D305" s="217"/>
      <c r="E305" s="420"/>
      <c r="F305" s="248"/>
      <c r="G305" s="297"/>
      <c r="H305" s="137"/>
      <c r="I305" s="307"/>
      <c r="J305" s="137"/>
      <c r="K305" s="455"/>
      <c r="L305" s="286"/>
      <c r="M305" s="286"/>
      <c r="N305" s="286"/>
      <c r="O305" s="286"/>
      <c r="P305" s="286"/>
      <c r="Q305" s="286"/>
      <c r="R305" s="286"/>
      <c r="S305" s="286"/>
      <c r="T305" s="286"/>
      <c r="U305" s="286"/>
      <c r="V305" s="286"/>
      <c r="W305" s="286"/>
    </row>
    <row r="306" spans="1:23" customFormat="1" hidden="1" x14ac:dyDescent="0.25">
      <c r="A306" s="413" t="s">
        <v>1079</v>
      </c>
      <c r="B306" s="328" t="s">
        <v>825</v>
      </c>
      <c r="C306" s="323"/>
      <c r="D306" s="217"/>
      <c r="E306" s="420"/>
      <c r="F306" s="248"/>
      <c r="G306" s="297"/>
      <c r="H306" s="137"/>
      <c r="I306" s="307"/>
      <c r="J306" s="137"/>
      <c r="K306" s="455"/>
      <c r="L306" s="286"/>
      <c r="M306" s="286"/>
      <c r="N306" s="286"/>
      <c r="O306" s="286"/>
      <c r="P306" s="286"/>
      <c r="Q306" s="286"/>
      <c r="R306" s="286"/>
      <c r="S306" s="286"/>
      <c r="T306" s="286"/>
      <c r="U306" s="286"/>
      <c r="V306" s="286"/>
      <c r="W306" s="286"/>
    </row>
    <row r="307" spans="1:23" customFormat="1" hidden="1" x14ac:dyDescent="0.25">
      <c r="A307" s="363" t="s">
        <v>1080</v>
      </c>
      <c r="B307" s="328" t="s">
        <v>621</v>
      </c>
      <c r="C307" s="323"/>
      <c r="D307" s="217"/>
      <c r="E307" s="422"/>
      <c r="F307" s="248"/>
      <c r="G307" s="297"/>
      <c r="H307" s="137"/>
      <c r="I307" s="307"/>
      <c r="J307" s="137"/>
      <c r="K307" s="455"/>
      <c r="L307" s="286"/>
      <c r="M307" s="286"/>
      <c r="N307" s="286"/>
      <c r="O307" s="286"/>
      <c r="P307" s="286"/>
      <c r="Q307" s="286"/>
      <c r="R307" s="286"/>
      <c r="S307" s="286"/>
      <c r="T307" s="286"/>
      <c r="U307" s="286"/>
      <c r="V307" s="286"/>
      <c r="W307" s="286"/>
    </row>
    <row r="308" spans="1:23" hidden="1" x14ac:dyDescent="0.25">
      <c r="A308" s="138"/>
      <c r="B308" s="393" t="s">
        <v>139</v>
      </c>
      <c r="C308" s="377">
        <f>SUM(C303:C307)</f>
        <v>0</v>
      </c>
      <c r="D308" s="229"/>
      <c r="E308" s="378">
        <v>0</v>
      </c>
      <c r="F308" s="248"/>
      <c r="G308" s="297">
        <v>0</v>
      </c>
      <c r="I308" s="307"/>
    </row>
    <row r="309" spans="1:23" x14ac:dyDescent="0.25">
      <c r="A309" s="382"/>
      <c r="B309" s="138"/>
      <c r="C309" s="314"/>
      <c r="D309" s="215"/>
      <c r="E309" s="315"/>
      <c r="F309" s="259"/>
      <c r="G309" s="297"/>
      <c r="I309" s="307"/>
    </row>
    <row r="310" spans="1:23" x14ac:dyDescent="0.25">
      <c r="A310" s="373" t="s">
        <v>1154</v>
      </c>
      <c r="B310" s="328"/>
      <c r="C310" s="323"/>
      <c r="D310" s="217"/>
      <c r="E310" s="322"/>
      <c r="F310" s="248"/>
      <c r="G310" s="297"/>
      <c r="I310" s="307"/>
    </row>
    <row r="311" spans="1:23" x14ac:dyDescent="0.25">
      <c r="A311" s="340" t="s">
        <v>1127</v>
      </c>
      <c r="B311" s="340" t="s">
        <v>118</v>
      </c>
      <c r="C311" s="341"/>
      <c r="D311" s="222"/>
      <c r="E311" s="339"/>
      <c r="F311" s="259"/>
      <c r="G311" s="297"/>
      <c r="I311" s="307"/>
    </row>
    <row r="312" spans="1:23" hidden="1" x14ac:dyDescent="0.25">
      <c r="A312" s="328" t="s">
        <v>351</v>
      </c>
      <c r="B312" s="328" t="s">
        <v>120</v>
      </c>
      <c r="C312" s="323"/>
      <c r="D312" s="217"/>
      <c r="E312" s="322"/>
      <c r="F312" s="259"/>
      <c r="G312" s="297"/>
      <c r="I312" s="307"/>
    </row>
    <row r="313" spans="1:23" hidden="1" x14ac:dyDescent="0.25">
      <c r="A313" s="328" t="s">
        <v>352</v>
      </c>
      <c r="B313" s="328" t="s">
        <v>122</v>
      </c>
      <c r="C313" s="323"/>
      <c r="D313" s="217"/>
      <c r="E313" s="322"/>
      <c r="F313" s="259"/>
      <c r="G313" s="297"/>
      <c r="I313" s="307"/>
    </row>
    <row r="314" spans="1:23" hidden="1" x14ac:dyDescent="0.25">
      <c r="A314" s="328" t="s">
        <v>353</v>
      </c>
      <c r="B314" s="328" t="s">
        <v>124</v>
      </c>
      <c r="C314" s="323"/>
      <c r="D314" s="217"/>
      <c r="E314" s="322"/>
      <c r="F314" s="248"/>
      <c r="G314" s="297"/>
      <c r="I314" s="307"/>
    </row>
    <row r="315" spans="1:23" x14ac:dyDescent="0.25">
      <c r="A315" s="328" t="s">
        <v>1081</v>
      </c>
      <c r="B315" s="328" t="s">
        <v>126</v>
      </c>
      <c r="C315" s="323">
        <v>78</v>
      </c>
      <c r="D315" s="217"/>
      <c r="E315" s="322">
        <v>1500</v>
      </c>
      <c r="F315" s="248"/>
      <c r="G315" s="297">
        <v>1500</v>
      </c>
      <c r="I315" s="307">
        <v>1500</v>
      </c>
      <c r="K315" s="455">
        <v>1500</v>
      </c>
    </row>
    <row r="316" spans="1:23" x14ac:dyDescent="0.25">
      <c r="A316" s="328" t="s">
        <v>1082</v>
      </c>
      <c r="B316" s="328" t="s">
        <v>1155</v>
      </c>
      <c r="C316" s="323">
        <v>0</v>
      </c>
      <c r="D316" s="217"/>
      <c r="E316" s="322">
        <v>2500</v>
      </c>
      <c r="F316" s="248"/>
      <c r="G316" s="297">
        <v>2500</v>
      </c>
      <c r="I316" s="307">
        <v>2500</v>
      </c>
      <c r="K316" s="455">
        <v>2500</v>
      </c>
    </row>
    <row r="317" spans="1:23" ht="51.75" x14ac:dyDescent="0.25">
      <c r="A317" s="328" t="s">
        <v>1083</v>
      </c>
      <c r="B317" s="328" t="s">
        <v>826</v>
      </c>
      <c r="C317" s="323">
        <v>0</v>
      </c>
      <c r="D317" s="217"/>
      <c r="E317" s="322">
        <v>7000</v>
      </c>
      <c r="F317" s="248" t="s">
        <v>1272</v>
      </c>
      <c r="G317" s="297">
        <v>7000</v>
      </c>
      <c r="H317" s="248" t="s">
        <v>1272</v>
      </c>
      <c r="I317" s="307">
        <v>7000</v>
      </c>
      <c r="J317" s="248" t="s">
        <v>1272</v>
      </c>
      <c r="K317" s="455">
        <v>7000</v>
      </c>
    </row>
    <row r="318" spans="1:23" ht="51.75" x14ac:dyDescent="0.25">
      <c r="A318" s="328" t="s">
        <v>1084</v>
      </c>
      <c r="B318" s="328" t="s">
        <v>1156</v>
      </c>
      <c r="C318" s="323">
        <v>24000</v>
      </c>
      <c r="D318" s="217"/>
      <c r="E318" s="322">
        <v>28000</v>
      </c>
      <c r="F318" s="248" t="s">
        <v>1432</v>
      </c>
      <c r="G318" s="297">
        <v>28000</v>
      </c>
      <c r="H318" s="248" t="s">
        <v>1432</v>
      </c>
      <c r="I318" s="307">
        <v>28000</v>
      </c>
      <c r="J318" s="248" t="s">
        <v>1432</v>
      </c>
      <c r="K318" s="455">
        <v>28000</v>
      </c>
    </row>
    <row r="319" spans="1:23" x14ac:dyDescent="0.25">
      <c r="A319" s="328" t="s">
        <v>1085</v>
      </c>
      <c r="B319" s="328" t="s">
        <v>344</v>
      </c>
      <c r="C319" s="323">
        <v>15</v>
      </c>
      <c r="D319" s="217"/>
      <c r="E319" s="322">
        <v>10000</v>
      </c>
      <c r="F319" s="248"/>
      <c r="G319" s="297">
        <v>10000</v>
      </c>
      <c r="I319" s="307">
        <v>10000</v>
      </c>
      <c r="K319" s="455">
        <v>10000</v>
      </c>
    </row>
    <row r="320" spans="1:23" x14ac:dyDescent="0.25">
      <c r="A320" s="328" t="s">
        <v>1086</v>
      </c>
      <c r="B320" s="328" t="s">
        <v>362</v>
      </c>
      <c r="C320" s="323">
        <v>0</v>
      </c>
      <c r="D320" s="217"/>
      <c r="E320" s="322">
        <v>22500</v>
      </c>
      <c r="F320" s="248"/>
      <c r="G320" s="297">
        <v>22500</v>
      </c>
      <c r="I320" s="307">
        <v>22500</v>
      </c>
      <c r="K320" s="455">
        <v>22500</v>
      </c>
    </row>
    <row r="321" spans="1:11" x14ac:dyDescent="0.25">
      <c r="A321" s="328" t="s">
        <v>1163</v>
      </c>
      <c r="B321" s="328" t="s">
        <v>402</v>
      </c>
      <c r="C321" s="323">
        <v>200</v>
      </c>
      <c r="D321" s="217"/>
      <c r="E321" s="322">
        <v>0</v>
      </c>
      <c r="F321" s="248"/>
      <c r="G321" s="297">
        <v>0</v>
      </c>
      <c r="I321" s="307">
        <v>0</v>
      </c>
      <c r="K321" s="455">
        <v>0</v>
      </c>
    </row>
    <row r="322" spans="1:11" hidden="1" x14ac:dyDescent="0.25">
      <c r="A322" s="340" t="s">
        <v>1087</v>
      </c>
      <c r="B322" s="340" t="s">
        <v>364</v>
      </c>
      <c r="C322" s="323"/>
      <c r="D322" s="217"/>
      <c r="E322" s="322"/>
      <c r="F322" s="248"/>
      <c r="G322" s="297"/>
      <c r="I322" s="307"/>
    </row>
    <row r="323" spans="1:11" x14ac:dyDescent="0.25">
      <c r="A323" s="340" t="s">
        <v>1088</v>
      </c>
      <c r="B323" s="340" t="s">
        <v>827</v>
      </c>
      <c r="C323" s="323">
        <v>616</v>
      </c>
      <c r="D323" s="217"/>
      <c r="E323" s="322">
        <v>0</v>
      </c>
      <c r="F323" s="248"/>
      <c r="G323" s="297">
        <v>0</v>
      </c>
      <c r="I323" s="307">
        <v>0</v>
      </c>
      <c r="K323" s="455">
        <v>0</v>
      </c>
    </row>
    <row r="324" spans="1:11" ht="39" x14ac:dyDescent="0.25">
      <c r="A324" s="340" t="s">
        <v>1089</v>
      </c>
      <c r="B324" s="340" t="s">
        <v>828</v>
      </c>
      <c r="C324" s="323">
        <v>553</v>
      </c>
      <c r="D324" s="217"/>
      <c r="E324" s="322">
        <v>2000</v>
      </c>
      <c r="F324" s="248" t="s">
        <v>1433</v>
      </c>
      <c r="G324" s="297">
        <v>2000</v>
      </c>
      <c r="H324" s="248" t="s">
        <v>1433</v>
      </c>
      <c r="I324" s="307">
        <v>2000</v>
      </c>
      <c r="J324" s="248" t="s">
        <v>1433</v>
      </c>
      <c r="K324" s="455">
        <v>2000</v>
      </c>
    </row>
    <row r="325" spans="1:11" x14ac:dyDescent="0.25">
      <c r="A325" s="340" t="s">
        <v>1159</v>
      </c>
      <c r="B325" s="340" t="s">
        <v>1160</v>
      </c>
      <c r="C325" s="323">
        <v>0</v>
      </c>
      <c r="D325" s="217"/>
      <c r="E325" s="322">
        <v>0</v>
      </c>
      <c r="F325" s="248"/>
      <c r="G325" s="297">
        <v>0</v>
      </c>
      <c r="I325" s="307">
        <v>0</v>
      </c>
      <c r="K325" s="455">
        <v>0</v>
      </c>
    </row>
    <row r="326" spans="1:11" s="266" customFormat="1" ht="90" x14ac:dyDescent="0.25">
      <c r="A326" s="340" t="s">
        <v>1170</v>
      </c>
      <c r="B326" s="340" t="s">
        <v>346</v>
      </c>
      <c r="C326" s="323">
        <v>0</v>
      </c>
      <c r="D326" s="217"/>
      <c r="E326" s="322">
        <v>12000</v>
      </c>
      <c r="F326" s="248" t="s">
        <v>1431</v>
      </c>
      <c r="G326" s="297">
        <v>12000</v>
      </c>
      <c r="H326" s="248" t="s">
        <v>1312</v>
      </c>
      <c r="I326" s="307">
        <v>12000</v>
      </c>
      <c r="J326" s="248" t="s">
        <v>1312</v>
      </c>
      <c r="K326" s="455">
        <v>12000</v>
      </c>
    </row>
    <row r="327" spans="1:11" x14ac:dyDescent="0.25">
      <c r="A327" s="327"/>
      <c r="B327" s="393" t="s">
        <v>139</v>
      </c>
      <c r="C327" s="394">
        <f>SUM(C311:C326)</f>
        <v>25462</v>
      </c>
      <c r="D327" s="232"/>
      <c r="E327" s="395">
        <f>SUM(E311:E326)</f>
        <v>85500</v>
      </c>
      <c r="F327" s="248"/>
      <c r="G327" s="296">
        <f>SUM(G311:G326)</f>
        <v>85500</v>
      </c>
      <c r="I327" s="306">
        <f>SUM(I311:I326)</f>
        <v>85500</v>
      </c>
      <c r="K327" s="454">
        <f>SUM(K311:K326)</f>
        <v>85500</v>
      </c>
    </row>
    <row r="328" spans="1:11" x14ac:dyDescent="0.25">
      <c r="A328" s="382"/>
      <c r="B328" s="138"/>
      <c r="C328" s="314"/>
      <c r="D328" s="215"/>
      <c r="E328" s="315"/>
      <c r="F328" s="248"/>
      <c r="G328" s="297"/>
      <c r="I328" s="307"/>
    </row>
    <row r="329" spans="1:11" x14ac:dyDescent="0.25">
      <c r="A329" s="386" t="s">
        <v>365</v>
      </c>
      <c r="B329" s="320"/>
      <c r="C329" s="323"/>
      <c r="D329" s="217"/>
      <c r="E329" s="322"/>
      <c r="F329" s="248"/>
      <c r="G329" s="297"/>
      <c r="I329" s="307"/>
    </row>
    <row r="330" spans="1:11" hidden="1" x14ac:dyDescent="0.25">
      <c r="A330" s="337" t="s">
        <v>366</v>
      </c>
      <c r="B330" s="337" t="s">
        <v>118</v>
      </c>
      <c r="C330" s="338"/>
      <c r="D330" s="221"/>
      <c r="E330" s="339"/>
      <c r="F330" s="248"/>
      <c r="G330" s="297"/>
      <c r="I330" s="307"/>
    </row>
    <row r="331" spans="1:11" hidden="1" x14ac:dyDescent="0.25">
      <c r="A331" s="320" t="s">
        <v>367</v>
      </c>
      <c r="B331" s="320" t="s">
        <v>120</v>
      </c>
      <c r="C331" s="323"/>
      <c r="D331" s="217"/>
      <c r="E331" s="322"/>
      <c r="F331" s="248"/>
      <c r="G331" s="297"/>
      <c r="I331" s="307"/>
    </row>
    <row r="332" spans="1:11" hidden="1" x14ac:dyDescent="0.25">
      <c r="A332" s="320" t="s">
        <v>368</v>
      </c>
      <c r="B332" s="320" t="s">
        <v>122</v>
      </c>
      <c r="C332" s="323"/>
      <c r="D332" s="217"/>
      <c r="E332" s="322"/>
      <c r="F332" s="248"/>
      <c r="G332" s="297"/>
      <c r="I332" s="307"/>
    </row>
    <row r="333" spans="1:11" hidden="1" x14ac:dyDescent="0.25">
      <c r="A333" s="320" t="s">
        <v>369</v>
      </c>
      <c r="B333" s="320" t="s">
        <v>124</v>
      </c>
      <c r="C333" s="323"/>
      <c r="D333" s="217"/>
      <c r="E333" s="322"/>
      <c r="F333" s="259"/>
      <c r="G333" s="297"/>
      <c r="I333" s="307"/>
    </row>
    <row r="334" spans="1:11" ht="100.5" customHeight="1" x14ac:dyDescent="0.25">
      <c r="A334" s="320" t="s">
        <v>1090</v>
      </c>
      <c r="B334" s="320" t="s">
        <v>346</v>
      </c>
      <c r="C334" s="346">
        <v>38098</v>
      </c>
      <c r="D334" s="279"/>
      <c r="E334" s="419">
        <v>39380</v>
      </c>
      <c r="F334" s="281" t="s">
        <v>1437</v>
      </c>
      <c r="G334" s="297">
        <v>39380</v>
      </c>
      <c r="H334" s="281" t="s">
        <v>1437</v>
      </c>
      <c r="I334" s="307">
        <v>39380</v>
      </c>
      <c r="J334" s="281" t="s">
        <v>1437</v>
      </c>
      <c r="K334" s="455">
        <v>39380</v>
      </c>
    </row>
    <row r="335" spans="1:11" ht="51.75" x14ac:dyDescent="0.25">
      <c r="A335" s="320" t="s">
        <v>1091</v>
      </c>
      <c r="B335" s="320" t="s">
        <v>372</v>
      </c>
      <c r="C335" s="323">
        <v>1600</v>
      </c>
      <c r="D335" s="217"/>
      <c r="E335" s="322">
        <v>0</v>
      </c>
      <c r="F335" s="284" t="s">
        <v>1377</v>
      </c>
      <c r="G335" s="297">
        <v>0</v>
      </c>
      <c r="I335" s="307">
        <v>0</v>
      </c>
      <c r="K335" s="455">
        <v>0</v>
      </c>
    </row>
    <row r="336" spans="1:11" ht="64.5" x14ac:dyDescent="0.25">
      <c r="A336" s="320" t="s">
        <v>1092</v>
      </c>
      <c r="B336" s="320" t="s">
        <v>374</v>
      </c>
      <c r="C336" s="346">
        <v>27013</v>
      </c>
      <c r="D336" s="279" t="s">
        <v>1238</v>
      </c>
      <c r="E336" s="419">
        <v>24049</v>
      </c>
      <c r="F336" s="281" t="s">
        <v>1426</v>
      </c>
      <c r="G336" s="297">
        <v>24049</v>
      </c>
      <c r="H336" s="281" t="s">
        <v>1426</v>
      </c>
      <c r="I336" s="307">
        <v>24049</v>
      </c>
      <c r="J336" s="281" t="s">
        <v>1426</v>
      </c>
      <c r="K336" s="455">
        <v>24049</v>
      </c>
    </row>
    <row r="337" spans="1:11" x14ac:dyDescent="0.25">
      <c r="A337" s="320"/>
      <c r="B337" s="320"/>
      <c r="C337" s="323"/>
      <c r="D337" s="217"/>
      <c r="E337" s="322"/>
      <c r="F337" s="248"/>
      <c r="G337" s="297"/>
      <c r="I337" s="307"/>
    </row>
    <row r="338" spans="1:11" x14ac:dyDescent="0.25">
      <c r="A338" s="138"/>
      <c r="B338" s="379" t="s">
        <v>139</v>
      </c>
      <c r="C338" s="377">
        <f>SUM(C334:C336)</f>
        <v>66711</v>
      </c>
      <c r="D338" s="229"/>
      <c r="E338" s="378">
        <f>SUM(E334:E336)</f>
        <v>63429</v>
      </c>
      <c r="F338" s="259"/>
      <c r="G338" s="296">
        <f>SUM(G334:G337)</f>
        <v>63429</v>
      </c>
      <c r="I338" s="306">
        <f>SUM(I334:I336)</f>
        <v>63429</v>
      </c>
      <c r="K338" s="454">
        <f>SUM(K334:K337)</f>
        <v>63429</v>
      </c>
    </row>
    <row r="339" spans="1:11" x14ac:dyDescent="0.25">
      <c r="A339" s="382"/>
      <c r="B339" s="138"/>
      <c r="C339" s="314"/>
      <c r="D339" s="215"/>
      <c r="E339" s="315"/>
      <c r="F339" s="259"/>
      <c r="G339" s="297"/>
      <c r="I339" s="307"/>
    </row>
    <row r="340" spans="1:11" x14ac:dyDescent="0.25">
      <c r="A340" s="386" t="s">
        <v>375</v>
      </c>
      <c r="B340" s="138"/>
      <c r="C340" s="323"/>
      <c r="D340" s="217"/>
      <c r="E340" s="322"/>
      <c r="F340" s="259"/>
      <c r="G340" s="297"/>
      <c r="I340" s="307"/>
    </row>
    <row r="341" spans="1:11" hidden="1" x14ac:dyDescent="0.25">
      <c r="A341" s="337" t="s">
        <v>376</v>
      </c>
      <c r="B341" s="337" t="s">
        <v>118</v>
      </c>
      <c r="C341" s="323"/>
      <c r="D341" s="142"/>
      <c r="E341" s="339"/>
      <c r="F341" s="261"/>
      <c r="G341" s="297"/>
      <c r="I341" s="307"/>
    </row>
    <row r="342" spans="1:11" ht="39" x14ac:dyDescent="0.25">
      <c r="A342" s="320" t="s">
        <v>1444</v>
      </c>
      <c r="B342" s="320" t="s">
        <v>120</v>
      </c>
      <c r="C342" s="323">
        <v>74</v>
      </c>
      <c r="D342" s="142"/>
      <c r="E342" s="322">
        <v>2000</v>
      </c>
      <c r="F342" s="262" t="s">
        <v>1273</v>
      </c>
      <c r="G342" s="297">
        <v>2000</v>
      </c>
      <c r="H342" s="262" t="s">
        <v>1273</v>
      </c>
      <c r="I342" s="307">
        <v>2000</v>
      </c>
      <c r="J342" s="262" t="s">
        <v>1273</v>
      </c>
      <c r="K342" s="455">
        <v>2000</v>
      </c>
    </row>
    <row r="343" spans="1:11" ht="15" hidden="1" customHeight="1" x14ac:dyDescent="0.25">
      <c r="A343" s="337" t="s">
        <v>378</v>
      </c>
      <c r="B343" s="337" t="s">
        <v>122</v>
      </c>
      <c r="C343" s="338"/>
      <c r="D343" s="239"/>
      <c r="E343" s="339"/>
      <c r="F343" s="262"/>
      <c r="G343" s="297"/>
      <c r="I343" s="307"/>
    </row>
    <row r="344" spans="1:11" ht="15" hidden="1" customHeight="1" x14ac:dyDescent="0.25">
      <c r="A344" s="337" t="s">
        <v>379</v>
      </c>
      <c r="B344" s="337" t="s">
        <v>203</v>
      </c>
      <c r="C344" s="338"/>
      <c r="D344" s="239"/>
      <c r="E344" s="339"/>
      <c r="F344" s="261"/>
      <c r="G344" s="297"/>
      <c r="I344" s="307"/>
    </row>
    <row r="345" spans="1:11" ht="39" x14ac:dyDescent="0.25">
      <c r="A345" s="320" t="s">
        <v>1093</v>
      </c>
      <c r="B345" s="320" t="s">
        <v>381</v>
      </c>
      <c r="C345" s="323">
        <v>2503</v>
      </c>
      <c r="D345" s="142"/>
      <c r="E345" s="322">
        <v>4000</v>
      </c>
      <c r="F345" s="262" t="s">
        <v>1273</v>
      </c>
      <c r="G345" s="297">
        <v>4000</v>
      </c>
      <c r="H345" s="262" t="s">
        <v>1273</v>
      </c>
      <c r="I345" s="307">
        <v>4000</v>
      </c>
      <c r="J345" s="262" t="s">
        <v>1273</v>
      </c>
      <c r="K345" s="455">
        <v>4000</v>
      </c>
    </row>
    <row r="346" spans="1:11" x14ac:dyDescent="0.25">
      <c r="A346" s="320" t="s">
        <v>1094</v>
      </c>
      <c r="B346" s="320" t="s">
        <v>134</v>
      </c>
      <c r="C346" s="323">
        <v>1238</v>
      </c>
      <c r="D346" s="142"/>
      <c r="E346" s="322">
        <v>1600</v>
      </c>
      <c r="F346" s="262"/>
      <c r="G346" s="297">
        <v>1600</v>
      </c>
      <c r="I346" s="307">
        <v>1600</v>
      </c>
      <c r="K346" s="455">
        <v>1600</v>
      </c>
    </row>
    <row r="347" spans="1:11" x14ac:dyDescent="0.25">
      <c r="A347" s="320" t="s">
        <v>1095</v>
      </c>
      <c r="B347" s="320" t="s">
        <v>402</v>
      </c>
      <c r="C347" s="323">
        <v>0</v>
      </c>
      <c r="D347" s="142"/>
      <c r="E347" s="322">
        <v>0</v>
      </c>
      <c r="F347" s="261"/>
      <c r="G347" s="297">
        <v>0</v>
      </c>
      <c r="I347" s="307">
        <v>0</v>
      </c>
      <c r="K347" s="455">
        <v>0</v>
      </c>
    </row>
    <row r="348" spans="1:11" x14ac:dyDescent="0.25">
      <c r="A348" s="138"/>
      <c r="B348" s="379" t="s">
        <v>139</v>
      </c>
      <c r="C348" s="377">
        <f>SUM(C342:C347)</f>
        <v>3815</v>
      </c>
      <c r="D348" s="240"/>
      <c r="E348" s="378">
        <f>SUM(E342:E347)</f>
        <v>7600</v>
      </c>
      <c r="F348" s="261"/>
      <c r="G348" s="296">
        <f>SUM(G342:G347)</f>
        <v>7600</v>
      </c>
      <c r="I348" s="306">
        <f>SUM(I342:I347)</f>
        <v>7600</v>
      </c>
      <c r="K348" s="454">
        <f>SUM(K342:K347)</f>
        <v>7600</v>
      </c>
    </row>
    <row r="349" spans="1:11" x14ac:dyDescent="0.25">
      <c r="A349" s="382"/>
      <c r="B349" s="138"/>
      <c r="C349" s="314"/>
      <c r="D349" s="241"/>
      <c r="E349" s="315"/>
      <c r="F349" s="261"/>
      <c r="G349" s="297"/>
      <c r="I349" s="307"/>
    </row>
    <row r="350" spans="1:11" x14ac:dyDescent="0.25">
      <c r="A350" s="386" t="s">
        <v>383</v>
      </c>
      <c r="B350" s="138"/>
      <c r="C350" s="323"/>
      <c r="D350" s="142"/>
      <c r="E350" s="322"/>
      <c r="F350" s="137"/>
      <c r="G350" s="297"/>
      <c r="I350" s="307"/>
    </row>
    <row r="351" spans="1:11" hidden="1" x14ac:dyDescent="0.25">
      <c r="A351" s="337" t="s">
        <v>384</v>
      </c>
      <c r="B351" s="337" t="s">
        <v>118</v>
      </c>
      <c r="C351" s="338"/>
      <c r="D351" s="239"/>
      <c r="E351" s="339"/>
      <c r="F351" s="137"/>
      <c r="G351" s="297"/>
      <c r="I351" s="307"/>
    </row>
    <row r="352" spans="1:11" hidden="1" x14ac:dyDescent="0.25">
      <c r="A352" s="320" t="s">
        <v>385</v>
      </c>
      <c r="B352" s="320" t="s">
        <v>126</v>
      </c>
      <c r="C352" s="323">
        <v>0</v>
      </c>
      <c r="D352" s="142"/>
      <c r="E352" s="322">
        <v>0</v>
      </c>
      <c r="F352" s="137"/>
      <c r="G352" s="297"/>
      <c r="I352" s="307"/>
    </row>
    <row r="353" spans="1:11" x14ac:dyDescent="0.25">
      <c r="A353" s="320" t="s">
        <v>1096</v>
      </c>
      <c r="B353" s="320" t="s">
        <v>120</v>
      </c>
      <c r="C353" s="323">
        <v>375</v>
      </c>
      <c r="D353" s="142"/>
      <c r="E353" s="322">
        <v>1000</v>
      </c>
      <c r="F353" s="261" t="s">
        <v>1378</v>
      </c>
      <c r="G353" s="297">
        <v>1000</v>
      </c>
      <c r="H353" s="137" t="s">
        <v>1378</v>
      </c>
      <c r="I353" s="307">
        <v>1000</v>
      </c>
      <c r="J353" s="137" t="s">
        <v>1378</v>
      </c>
      <c r="K353" s="455">
        <v>1000</v>
      </c>
    </row>
    <row r="354" spans="1:11" hidden="1" x14ac:dyDescent="0.25">
      <c r="A354" s="320" t="s">
        <v>387</v>
      </c>
      <c r="B354" s="320" t="s">
        <v>122</v>
      </c>
      <c r="C354" s="323"/>
      <c r="D354" s="142"/>
      <c r="E354" s="322"/>
      <c r="F354" s="261"/>
      <c r="G354" s="297"/>
      <c r="I354" s="307"/>
    </row>
    <row r="355" spans="1:11" hidden="1" x14ac:dyDescent="0.25">
      <c r="A355" s="320" t="s">
        <v>388</v>
      </c>
      <c r="B355" s="320" t="s">
        <v>124</v>
      </c>
      <c r="C355" s="323"/>
      <c r="D355" s="142"/>
      <c r="E355" s="322"/>
      <c r="F355" s="261"/>
      <c r="G355" s="297"/>
      <c r="I355" s="307"/>
    </row>
    <row r="356" spans="1:11" ht="60" hidden="1" customHeight="1" x14ac:dyDescent="0.25">
      <c r="A356" s="320" t="s">
        <v>1128</v>
      </c>
      <c r="B356" s="320" t="s">
        <v>401</v>
      </c>
      <c r="C356" s="323">
        <v>2541</v>
      </c>
      <c r="D356" s="142"/>
      <c r="E356" s="322">
        <v>0</v>
      </c>
      <c r="F356" s="261"/>
      <c r="G356" s="297"/>
      <c r="I356" s="307"/>
    </row>
    <row r="357" spans="1:11" ht="26.25" customHeight="1" x14ac:dyDescent="0.25">
      <c r="A357" s="320" t="s">
        <v>1129</v>
      </c>
      <c r="B357" s="320" t="s">
        <v>224</v>
      </c>
      <c r="C357" s="323">
        <v>375</v>
      </c>
      <c r="D357" s="142"/>
      <c r="E357" s="322">
        <v>0</v>
      </c>
      <c r="F357" s="261"/>
      <c r="G357" s="297">
        <v>0</v>
      </c>
      <c r="I357" s="307"/>
    </row>
    <row r="358" spans="1:11" hidden="1" x14ac:dyDescent="0.25">
      <c r="A358" s="320" t="s">
        <v>1097</v>
      </c>
      <c r="B358" s="320" t="s">
        <v>381</v>
      </c>
      <c r="C358" s="323"/>
      <c r="D358" s="142"/>
      <c r="E358" s="322"/>
      <c r="F358" s="261"/>
      <c r="G358" s="297"/>
      <c r="I358" s="307"/>
    </row>
    <row r="359" spans="1:11" hidden="1" x14ac:dyDescent="0.25">
      <c r="A359" s="320" t="s">
        <v>1098</v>
      </c>
      <c r="B359" s="320" t="s">
        <v>391</v>
      </c>
      <c r="C359" s="323"/>
      <c r="D359" s="142"/>
      <c r="E359" s="322"/>
      <c r="F359" s="261"/>
      <c r="G359" s="297"/>
      <c r="I359" s="307"/>
    </row>
    <row r="360" spans="1:11" x14ac:dyDescent="0.25">
      <c r="A360" s="320" t="s">
        <v>1094</v>
      </c>
      <c r="B360" s="320" t="s">
        <v>134</v>
      </c>
      <c r="C360" s="323">
        <v>2541</v>
      </c>
      <c r="D360" s="142"/>
      <c r="E360" s="322">
        <v>0</v>
      </c>
      <c r="F360" s="261"/>
      <c r="G360" s="297"/>
      <c r="I360" s="307"/>
    </row>
    <row r="361" spans="1:11" x14ac:dyDescent="0.25">
      <c r="A361" s="138"/>
      <c r="B361" s="379" t="s">
        <v>139</v>
      </c>
      <c r="C361" s="361">
        <f>SUM(C353:C360)</f>
        <v>5832</v>
      </c>
      <c r="D361" s="242"/>
      <c r="E361" s="362">
        <f>SUM(E352:E360)</f>
        <v>1000</v>
      </c>
      <c r="F361" s="261"/>
      <c r="G361" s="296">
        <f>SUM(G353:G360)</f>
        <v>1000</v>
      </c>
      <c r="I361" s="306">
        <f>SUM(I353:I360)</f>
        <v>1000</v>
      </c>
      <c r="K361" s="454">
        <f>SUM(K353:K360)</f>
        <v>1000</v>
      </c>
    </row>
    <row r="362" spans="1:11" x14ac:dyDescent="0.25">
      <c r="A362" s="386" t="s">
        <v>392</v>
      </c>
      <c r="B362" s="138"/>
      <c r="C362" s="323"/>
      <c r="D362" s="142"/>
      <c r="E362" s="322"/>
      <c r="F362" s="261"/>
      <c r="G362" s="297"/>
      <c r="I362" s="307"/>
    </row>
    <row r="363" spans="1:11" ht="21.75" customHeight="1" x14ac:dyDescent="0.25">
      <c r="A363" s="138" t="s">
        <v>1099</v>
      </c>
      <c r="B363" s="320" t="s">
        <v>118</v>
      </c>
      <c r="C363" s="323">
        <v>0</v>
      </c>
      <c r="D363" s="142"/>
      <c r="E363" s="322">
        <v>0</v>
      </c>
      <c r="F363" s="263"/>
      <c r="G363" s="297"/>
      <c r="I363" s="307"/>
    </row>
    <row r="364" spans="1:11" x14ac:dyDescent="0.25">
      <c r="A364" s="320" t="s">
        <v>1100</v>
      </c>
      <c r="B364" s="320" t="s">
        <v>120</v>
      </c>
      <c r="C364" s="323">
        <v>50</v>
      </c>
      <c r="D364" s="142"/>
      <c r="E364" s="322">
        <v>150</v>
      </c>
      <c r="F364" s="261"/>
      <c r="G364" s="297">
        <v>150</v>
      </c>
      <c r="I364" s="307">
        <v>150</v>
      </c>
      <c r="K364" s="455">
        <v>150</v>
      </c>
    </row>
    <row r="365" spans="1:11" ht="15" hidden="1" customHeight="1" x14ac:dyDescent="0.25">
      <c r="A365" s="138"/>
      <c r="B365" s="320" t="s">
        <v>122</v>
      </c>
      <c r="C365" s="323"/>
      <c r="D365" s="142"/>
      <c r="E365" s="322"/>
      <c r="F365" s="261"/>
      <c r="G365" s="297"/>
      <c r="I365" s="307"/>
    </row>
    <row r="366" spans="1:11" ht="15" hidden="1" customHeight="1" x14ac:dyDescent="0.25">
      <c r="A366" s="320" t="s">
        <v>1101</v>
      </c>
      <c r="B366" s="320" t="s">
        <v>396</v>
      </c>
      <c r="C366" s="323"/>
      <c r="D366" s="142"/>
      <c r="E366" s="322"/>
      <c r="F366" s="261"/>
      <c r="G366" s="297"/>
      <c r="I366" s="307"/>
    </row>
    <row r="367" spans="1:11" ht="15" hidden="1" customHeight="1" x14ac:dyDescent="0.25">
      <c r="A367" s="320" t="s">
        <v>397</v>
      </c>
      <c r="B367" s="320" t="s">
        <v>124</v>
      </c>
      <c r="C367" s="323"/>
      <c r="D367" s="142"/>
      <c r="E367" s="322"/>
      <c r="F367" s="261"/>
      <c r="G367" s="297"/>
      <c r="I367" s="307"/>
    </row>
    <row r="368" spans="1:11" ht="20.25" customHeight="1" x14ac:dyDescent="0.25">
      <c r="A368" s="328" t="s">
        <v>1102</v>
      </c>
      <c r="B368" s="328" t="s">
        <v>126</v>
      </c>
      <c r="C368" s="323">
        <v>2354</v>
      </c>
      <c r="D368" s="142"/>
      <c r="E368" s="322">
        <v>500</v>
      </c>
      <c r="F368" s="261" t="s">
        <v>1322</v>
      </c>
      <c r="G368" s="297">
        <v>500</v>
      </c>
      <c r="H368" s="261" t="s">
        <v>1322</v>
      </c>
      <c r="I368" s="307">
        <v>0</v>
      </c>
      <c r="K368" s="455">
        <v>0</v>
      </c>
    </row>
    <row r="369" spans="1:11" ht="39" hidden="1" customHeight="1" x14ac:dyDescent="0.25">
      <c r="A369" s="320" t="s">
        <v>398</v>
      </c>
      <c r="B369" s="320" t="s">
        <v>132</v>
      </c>
      <c r="C369" s="323"/>
      <c r="D369" s="142"/>
      <c r="E369" s="322"/>
      <c r="F369" s="137"/>
      <c r="G369" s="297"/>
      <c r="I369" s="307"/>
    </row>
    <row r="370" spans="1:11" ht="24" customHeight="1" x14ac:dyDescent="0.25">
      <c r="A370" s="320" t="s">
        <v>1136</v>
      </c>
      <c r="B370" s="320" t="s">
        <v>179</v>
      </c>
      <c r="C370" s="323">
        <v>20</v>
      </c>
      <c r="D370" s="142"/>
      <c r="E370" s="322">
        <v>0</v>
      </c>
      <c r="F370" s="137"/>
      <c r="G370" s="297">
        <v>0</v>
      </c>
      <c r="I370" s="307">
        <v>0</v>
      </c>
      <c r="K370" s="455">
        <v>0</v>
      </c>
    </row>
    <row r="371" spans="1:11" ht="27" customHeight="1" x14ac:dyDescent="0.25">
      <c r="A371" s="320" t="s">
        <v>1130</v>
      </c>
      <c r="B371" s="320" t="s">
        <v>190</v>
      </c>
      <c r="C371" s="323">
        <v>7748</v>
      </c>
      <c r="D371" s="217"/>
      <c r="E371" s="322">
        <v>7500</v>
      </c>
      <c r="F371" s="137" t="s">
        <v>1274</v>
      </c>
      <c r="G371" s="297">
        <v>7500</v>
      </c>
      <c r="H371" s="137" t="s">
        <v>1274</v>
      </c>
      <c r="I371" s="307">
        <v>7500</v>
      </c>
      <c r="J371" s="137" t="s">
        <v>1274</v>
      </c>
      <c r="K371" s="455">
        <v>7500</v>
      </c>
    </row>
    <row r="372" spans="1:11" ht="33.75" customHeight="1" x14ac:dyDescent="0.25">
      <c r="A372" s="320" t="s">
        <v>1103</v>
      </c>
      <c r="B372" s="320" t="s">
        <v>401</v>
      </c>
      <c r="C372" s="323">
        <v>5783</v>
      </c>
      <c r="D372" s="142"/>
      <c r="E372" s="322">
        <v>6000</v>
      </c>
      <c r="F372" s="137"/>
      <c r="G372" s="297">
        <v>6000</v>
      </c>
      <c r="I372" s="307">
        <v>6000</v>
      </c>
      <c r="K372" s="455">
        <v>6000</v>
      </c>
    </row>
    <row r="373" spans="1:11" x14ac:dyDescent="0.25">
      <c r="A373" s="320" t="s">
        <v>1104</v>
      </c>
      <c r="B373" s="320" t="s">
        <v>402</v>
      </c>
      <c r="C373" s="323">
        <v>1700</v>
      </c>
      <c r="D373" s="142"/>
      <c r="E373" s="322">
        <v>3000</v>
      </c>
      <c r="F373" s="137"/>
      <c r="G373" s="297">
        <v>3000</v>
      </c>
      <c r="I373" s="307">
        <v>3000</v>
      </c>
      <c r="K373" s="455">
        <v>3000</v>
      </c>
    </row>
    <row r="374" spans="1:11" ht="29.25" customHeight="1" x14ac:dyDescent="0.25">
      <c r="A374" s="320" t="s">
        <v>1105</v>
      </c>
      <c r="B374" s="320" t="s">
        <v>404</v>
      </c>
      <c r="C374" s="323">
        <v>556</v>
      </c>
      <c r="D374" s="142"/>
      <c r="E374" s="322">
        <v>550</v>
      </c>
      <c r="F374" s="137"/>
      <c r="G374" s="297">
        <v>550</v>
      </c>
      <c r="I374" s="307">
        <v>550</v>
      </c>
      <c r="K374" s="455">
        <v>550</v>
      </c>
    </row>
    <row r="375" spans="1:11" x14ac:dyDescent="0.25">
      <c r="A375" s="320" t="s">
        <v>1106</v>
      </c>
      <c r="B375" s="320" t="s">
        <v>134</v>
      </c>
      <c r="C375" s="323">
        <v>1240</v>
      </c>
      <c r="D375" s="142"/>
      <c r="E375" s="322">
        <v>1500</v>
      </c>
      <c r="F375" s="137"/>
      <c r="G375" s="297">
        <v>1500</v>
      </c>
      <c r="I375" s="307">
        <v>1500</v>
      </c>
      <c r="K375" s="455">
        <v>1500</v>
      </c>
    </row>
    <row r="376" spans="1:11" ht="22.5" customHeight="1" x14ac:dyDescent="0.25">
      <c r="A376" s="320" t="s">
        <v>1107</v>
      </c>
      <c r="B376" s="320" t="s">
        <v>406</v>
      </c>
      <c r="C376" s="323">
        <v>900</v>
      </c>
      <c r="D376" s="142"/>
      <c r="E376" s="322">
        <v>2500</v>
      </c>
      <c r="F376" s="137" t="s">
        <v>1379</v>
      </c>
      <c r="G376" s="297">
        <v>2500</v>
      </c>
      <c r="H376" s="137" t="s">
        <v>1379</v>
      </c>
      <c r="I376" s="307">
        <v>0</v>
      </c>
      <c r="J376" s="137" t="s">
        <v>1400</v>
      </c>
      <c r="K376" s="455">
        <v>0</v>
      </c>
    </row>
    <row r="377" spans="1:11" ht="39" x14ac:dyDescent="0.25">
      <c r="A377" s="328" t="s">
        <v>1108</v>
      </c>
      <c r="B377" s="328" t="s">
        <v>408</v>
      </c>
      <c r="C377" s="323">
        <v>656</v>
      </c>
      <c r="D377" s="142"/>
      <c r="E377" s="322">
        <v>550</v>
      </c>
      <c r="F377" s="261" t="s">
        <v>1323</v>
      </c>
      <c r="G377" s="297">
        <v>550</v>
      </c>
      <c r="H377" s="261" t="s">
        <v>1323</v>
      </c>
      <c r="I377" s="307">
        <v>0</v>
      </c>
      <c r="K377" s="455">
        <v>0</v>
      </c>
    </row>
    <row r="378" spans="1:11" x14ac:dyDescent="0.25">
      <c r="A378" s="138"/>
      <c r="B378" s="379" t="s">
        <v>139</v>
      </c>
      <c r="C378" s="377">
        <f>SUM(C363:C377)</f>
        <v>21007</v>
      </c>
      <c r="D378" s="240"/>
      <c r="E378" s="378">
        <f>SUM(E363:E377)</f>
        <v>22250</v>
      </c>
      <c r="F378" s="137"/>
      <c r="G378" s="296">
        <f>SUM(G363:G377)</f>
        <v>22250</v>
      </c>
      <c r="I378" s="306">
        <f>SUM(I363:I377)</f>
        <v>18700</v>
      </c>
      <c r="K378" s="454">
        <f>SUM(K363:K377)</f>
        <v>18700</v>
      </c>
    </row>
    <row r="379" spans="1:11" x14ac:dyDescent="0.25">
      <c r="A379" s="138"/>
      <c r="B379" s="379"/>
      <c r="C379" s="377"/>
      <c r="D379" s="240"/>
      <c r="E379" s="378"/>
      <c r="F379" s="262"/>
      <c r="G379" s="297"/>
      <c r="I379" s="307"/>
    </row>
    <row r="380" spans="1:11" x14ac:dyDescent="0.25">
      <c r="A380" s="382"/>
      <c r="B380" s="138"/>
      <c r="C380" s="314"/>
      <c r="D380" s="241"/>
      <c r="E380" s="315"/>
      <c r="F380" s="262"/>
      <c r="G380" s="297"/>
      <c r="I380" s="307"/>
    </row>
    <row r="381" spans="1:11" x14ac:dyDescent="0.25">
      <c r="A381" s="386" t="s">
        <v>409</v>
      </c>
      <c r="B381" s="320"/>
      <c r="C381" s="323"/>
      <c r="D381" s="142"/>
      <c r="E381" s="322"/>
      <c r="F381" s="262"/>
      <c r="G381" s="297"/>
      <c r="I381" s="307"/>
    </row>
    <row r="382" spans="1:11" hidden="1" x14ac:dyDescent="0.25">
      <c r="A382" s="398" t="s">
        <v>410</v>
      </c>
      <c r="B382" s="320" t="s">
        <v>118</v>
      </c>
      <c r="C382" s="323"/>
      <c r="D382" s="142"/>
      <c r="E382" s="322"/>
      <c r="F382" s="262"/>
      <c r="G382" s="297"/>
      <c r="I382" s="307"/>
    </row>
    <row r="383" spans="1:11" ht="77.25" x14ac:dyDescent="0.25">
      <c r="A383" s="320" t="s">
        <v>1109</v>
      </c>
      <c r="B383" s="320" t="s">
        <v>120</v>
      </c>
      <c r="C383" s="323">
        <v>7625</v>
      </c>
      <c r="D383" s="142" t="s">
        <v>1313</v>
      </c>
      <c r="E383" s="322">
        <v>9600</v>
      </c>
      <c r="F383" s="356" t="s">
        <v>1319</v>
      </c>
      <c r="G383" s="297">
        <v>9600</v>
      </c>
      <c r="H383" s="356" t="s">
        <v>1319</v>
      </c>
      <c r="I383" s="307">
        <v>9600</v>
      </c>
      <c r="J383" s="356" t="s">
        <v>1397</v>
      </c>
      <c r="K383" s="455">
        <v>12000</v>
      </c>
    </row>
    <row r="384" spans="1:11" hidden="1" x14ac:dyDescent="0.25">
      <c r="A384" s="320" t="s">
        <v>1123</v>
      </c>
      <c r="B384" s="320" t="s">
        <v>203</v>
      </c>
      <c r="C384" s="323"/>
      <c r="D384" s="142"/>
      <c r="E384" s="322"/>
      <c r="F384" s="137"/>
      <c r="G384" s="297"/>
      <c r="I384" s="307"/>
    </row>
    <row r="385" spans="1:11" ht="33.75" customHeight="1" x14ac:dyDescent="0.25">
      <c r="A385" s="320" t="s">
        <v>1110</v>
      </c>
      <c r="B385" s="320" t="s">
        <v>413</v>
      </c>
      <c r="C385" s="323">
        <v>195</v>
      </c>
      <c r="D385" s="217" t="s">
        <v>1223</v>
      </c>
      <c r="E385" s="322">
        <v>0</v>
      </c>
      <c r="F385" s="137" t="s">
        <v>1222</v>
      </c>
      <c r="G385" s="297">
        <v>0</v>
      </c>
      <c r="H385" s="137" t="s">
        <v>1222</v>
      </c>
      <c r="I385" s="307">
        <v>0</v>
      </c>
      <c r="J385" s="137" t="s">
        <v>1222</v>
      </c>
      <c r="K385" s="455">
        <v>0</v>
      </c>
    </row>
    <row r="386" spans="1:11" ht="64.5" x14ac:dyDescent="0.25">
      <c r="A386" s="320" t="s">
        <v>1111</v>
      </c>
      <c r="B386" s="320" t="s">
        <v>224</v>
      </c>
      <c r="C386" s="323">
        <v>20250</v>
      </c>
      <c r="D386" s="217" t="s">
        <v>1224</v>
      </c>
      <c r="E386" s="322">
        <v>20000</v>
      </c>
      <c r="F386" s="137" t="s">
        <v>1318</v>
      </c>
      <c r="G386" s="297">
        <v>20000</v>
      </c>
      <c r="H386" s="137" t="s">
        <v>1318</v>
      </c>
      <c r="I386" s="307">
        <v>20000</v>
      </c>
      <c r="J386" s="137" t="s">
        <v>1318</v>
      </c>
      <c r="K386" s="455">
        <v>20000</v>
      </c>
    </row>
    <row r="387" spans="1:11" ht="51.75" x14ac:dyDescent="0.25">
      <c r="A387" s="320" t="s">
        <v>1112</v>
      </c>
      <c r="B387" s="320" t="s">
        <v>381</v>
      </c>
      <c r="C387" s="323">
        <v>1750</v>
      </c>
      <c r="D387" s="142" t="s">
        <v>1314</v>
      </c>
      <c r="E387" s="322">
        <v>2320</v>
      </c>
      <c r="F387" s="137" t="s">
        <v>1226</v>
      </c>
      <c r="G387" s="297">
        <v>2320</v>
      </c>
      <c r="H387" s="137" t="s">
        <v>1226</v>
      </c>
      <c r="I387" s="307">
        <v>1740</v>
      </c>
      <c r="J387" s="137" t="s">
        <v>1398</v>
      </c>
      <c r="K387" s="455">
        <v>1740</v>
      </c>
    </row>
    <row r="388" spans="1:11" ht="67.5" customHeight="1" x14ac:dyDescent="0.25">
      <c r="A388" s="320" t="s">
        <v>1113</v>
      </c>
      <c r="B388" s="320" t="s">
        <v>134</v>
      </c>
      <c r="C388" s="323">
        <v>19740</v>
      </c>
      <c r="D388" s="142" t="s">
        <v>1317</v>
      </c>
      <c r="E388" s="322">
        <v>26100</v>
      </c>
      <c r="F388" s="137" t="s">
        <v>1225</v>
      </c>
      <c r="G388" s="297">
        <v>26100</v>
      </c>
      <c r="H388" s="137" t="s">
        <v>1225</v>
      </c>
      <c r="I388" s="307">
        <v>19500</v>
      </c>
      <c r="J388" s="137" t="s">
        <v>1399</v>
      </c>
      <c r="K388" s="455">
        <v>26000</v>
      </c>
    </row>
    <row r="389" spans="1:11" ht="121.5" customHeight="1" x14ac:dyDescent="0.25">
      <c r="A389" s="320" t="s">
        <v>1164</v>
      </c>
      <c r="B389" s="320" t="s">
        <v>1138</v>
      </c>
      <c r="C389" s="323">
        <v>1350</v>
      </c>
      <c r="D389" s="142" t="s">
        <v>1315</v>
      </c>
      <c r="E389" s="322">
        <v>2850</v>
      </c>
      <c r="F389" s="137" t="s">
        <v>1316</v>
      </c>
      <c r="G389" s="297">
        <v>2850</v>
      </c>
      <c r="H389" s="137" t="s">
        <v>1316</v>
      </c>
      <c r="I389" s="307">
        <v>2850</v>
      </c>
      <c r="J389" s="137" t="s">
        <v>1316</v>
      </c>
      <c r="K389" s="455">
        <v>2850</v>
      </c>
    </row>
    <row r="390" spans="1:11" x14ac:dyDescent="0.25">
      <c r="A390" s="320" t="s">
        <v>1114</v>
      </c>
      <c r="B390" s="320" t="s">
        <v>417</v>
      </c>
      <c r="C390" s="323">
        <v>300</v>
      </c>
      <c r="D390" s="142"/>
      <c r="E390" s="322">
        <v>300</v>
      </c>
      <c r="F390" s="262"/>
      <c r="G390" s="297">
        <v>300</v>
      </c>
      <c r="I390" s="307">
        <v>300</v>
      </c>
      <c r="K390" s="455">
        <v>300</v>
      </c>
    </row>
    <row r="391" spans="1:11" x14ac:dyDescent="0.25">
      <c r="A391" s="138"/>
      <c r="B391" s="379" t="s">
        <v>139</v>
      </c>
      <c r="C391" s="377">
        <f>SUM(C383:C390)</f>
        <v>51210</v>
      </c>
      <c r="D391" s="240"/>
      <c r="E391" s="378">
        <f>SUM(E383:E390)</f>
        <v>61170</v>
      </c>
      <c r="F391" s="262"/>
      <c r="G391" s="296">
        <f>SUM(G383:G390)</f>
        <v>61170</v>
      </c>
      <c r="I391" s="306">
        <f>SUM(I383:I390)</f>
        <v>53990</v>
      </c>
      <c r="K391" s="454">
        <f>SUM(K383:K390)</f>
        <v>62890</v>
      </c>
    </row>
    <row r="392" spans="1:11" x14ac:dyDescent="0.25">
      <c r="A392" s="138"/>
      <c r="B392" s="379"/>
      <c r="C392" s="377"/>
      <c r="D392" s="240"/>
      <c r="E392" s="378"/>
      <c r="F392" s="262"/>
      <c r="G392" s="297"/>
      <c r="I392" s="307"/>
    </row>
    <row r="393" spans="1:11" ht="26.25" x14ac:dyDescent="0.25">
      <c r="A393" s="423" t="s">
        <v>1115</v>
      </c>
      <c r="B393" s="289" t="s">
        <v>833</v>
      </c>
      <c r="C393" s="377">
        <v>500</v>
      </c>
      <c r="D393" s="217"/>
      <c r="E393" s="424">
        <v>500</v>
      </c>
      <c r="F393" s="262" t="s">
        <v>1262</v>
      </c>
      <c r="G393" s="296">
        <v>500</v>
      </c>
      <c r="H393" s="262" t="s">
        <v>1262</v>
      </c>
      <c r="I393" s="306">
        <v>500</v>
      </c>
      <c r="J393" s="137" t="s">
        <v>1262</v>
      </c>
      <c r="K393" s="454">
        <v>500</v>
      </c>
    </row>
    <row r="394" spans="1:11" hidden="1" x14ac:dyDescent="0.25">
      <c r="A394" s="399" t="s">
        <v>418</v>
      </c>
      <c r="B394" s="425"/>
      <c r="C394" s="426"/>
      <c r="D394" s="243"/>
      <c r="E394" s="390"/>
      <c r="F394" s="262"/>
      <c r="G394" s="297"/>
      <c r="I394" s="307"/>
    </row>
    <row r="395" spans="1:11" hidden="1" x14ac:dyDescent="0.25">
      <c r="A395" s="427" t="s">
        <v>419</v>
      </c>
      <c r="B395" s="425" t="s">
        <v>120</v>
      </c>
      <c r="C395" s="426"/>
      <c r="D395" s="243"/>
      <c r="E395" s="390"/>
      <c r="F395" s="262"/>
      <c r="G395" s="297"/>
      <c r="I395" s="307"/>
    </row>
    <row r="396" spans="1:11" hidden="1" x14ac:dyDescent="0.25">
      <c r="A396" s="427" t="s">
        <v>420</v>
      </c>
      <c r="B396" s="425" t="s">
        <v>421</v>
      </c>
      <c r="C396" s="426"/>
      <c r="D396" s="243"/>
      <c r="E396" s="390"/>
      <c r="F396" s="262"/>
      <c r="G396" s="297"/>
      <c r="I396" s="307"/>
    </row>
    <row r="397" spans="1:11" hidden="1" x14ac:dyDescent="0.25">
      <c r="A397" s="427" t="s">
        <v>422</v>
      </c>
      <c r="B397" s="425" t="s">
        <v>124</v>
      </c>
      <c r="C397" s="426"/>
      <c r="D397" s="243"/>
      <c r="E397" s="390"/>
      <c r="F397" s="262"/>
      <c r="G397" s="297"/>
      <c r="I397" s="307"/>
    </row>
    <row r="398" spans="1:11" hidden="1" x14ac:dyDescent="0.25">
      <c r="A398" s="337" t="s">
        <v>423</v>
      </c>
      <c r="B398" s="337" t="s">
        <v>179</v>
      </c>
      <c r="C398" s="338"/>
      <c r="D398" s="239"/>
      <c r="E398" s="339"/>
      <c r="F398" s="262"/>
      <c r="G398" s="297"/>
      <c r="I398" s="307"/>
    </row>
    <row r="399" spans="1:11" hidden="1" x14ac:dyDescent="0.25">
      <c r="A399" s="337" t="s">
        <v>424</v>
      </c>
      <c r="B399" s="337" t="s">
        <v>425</v>
      </c>
      <c r="C399" s="338"/>
      <c r="D399" s="239"/>
      <c r="E399" s="339"/>
      <c r="F399" s="262"/>
      <c r="G399" s="297"/>
      <c r="I399" s="307"/>
    </row>
    <row r="400" spans="1:11" hidden="1" x14ac:dyDescent="0.25">
      <c r="A400" s="400"/>
      <c r="B400" s="401" t="s">
        <v>139</v>
      </c>
      <c r="C400" s="402"/>
      <c r="D400" s="244"/>
      <c r="E400" s="403"/>
      <c r="F400" s="262"/>
      <c r="G400" s="297"/>
      <c r="I400" s="307"/>
    </row>
    <row r="401" spans="1:11" x14ac:dyDescent="0.25">
      <c r="A401" s="138"/>
      <c r="B401" s="320"/>
      <c r="C401" s="323"/>
      <c r="D401" s="142"/>
      <c r="E401" s="322"/>
      <c r="F401" s="262"/>
      <c r="G401" s="297"/>
      <c r="I401" s="307"/>
    </row>
    <row r="402" spans="1:11" x14ac:dyDescent="0.25">
      <c r="A402" s="386" t="s">
        <v>1178</v>
      </c>
      <c r="B402" s="337"/>
      <c r="C402" s="338"/>
      <c r="D402" s="239"/>
      <c r="E402" s="339"/>
      <c r="F402" s="262"/>
      <c r="G402" s="297"/>
      <c r="I402" s="307"/>
    </row>
    <row r="403" spans="1:11" hidden="1" x14ac:dyDescent="0.25">
      <c r="A403" s="428" t="s">
        <v>426</v>
      </c>
      <c r="B403" s="337" t="s">
        <v>427</v>
      </c>
      <c r="C403" s="323"/>
      <c r="D403" s="142"/>
      <c r="E403" s="339"/>
      <c r="F403" s="262"/>
      <c r="G403" s="297"/>
      <c r="I403" s="307"/>
    </row>
    <row r="404" spans="1:11" hidden="1" x14ac:dyDescent="0.25">
      <c r="A404" s="428" t="s">
        <v>428</v>
      </c>
      <c r="B404" s="337" t="s">
        <v>429</v>
      </c>
      <c r="C404" s="323"/>
      <c r="D404" s="142"/>
      <c r="E404" s="339"/>
      <c r="F404" s="262"/>
      <c r="G404" s="297"/>
      <c r="I404" s="307"/>
    </row>
    <row r="405" spans="1:11" s="283" customFormat="1" ht="26.25" x14ac:dyDescent="0.25">
      <c r="A405" s="429" t="s">
        <v>1180</v>
      </c>
      <c r="B405" s="387" t="s">
        <v>1380</v>
      </c>
      <c r="C405" s="323">
        <v>204000</v>
      </c>
      <c r="D405" s="142"/>
      <c r="E405" s="343">
        <v>68000</v>
      </c>
      <c r="F405" s="262" t="s">
        <v>1181</v>
      </c>
      <c r="G405" s="297">
        <v>68000</v>
      </c>
      <c r="H405" s="137" t="s">
        <v>1181</v>
      </c>
      <c r="I405" s="307">
        <v>68000</v>
      </c>
      <c r="J405" s="137" t="s">
        <v>1181</v>
      </c>
      <c r="K405" s="455">
        <v>68000</v>
      </c>
    </row>
    <row r="406" spans="1:11" s="283" customFormat="1" ht="51.75" x14ac:dyDescent="0.25">
      <c r="A406" s="429" t="s">
        <v>1275</v>
      </c>
      <c r="B406" s="387" t="s">
        <v>621</v>
      </c>
      <c r="C406" s="341"/>
      <c r="D406" s="245"/>
      <c r="E406" s="343">
        <v>7800</v>
      </c>
      <c r="F406" s="285" t="s">
        <v>1276</v>
      </c>
      <c r="G406" s="297">
        <v>7800</v>
      </c>
      <c r="H406" s="285" t="s">
        <v>1276</v>
      </c>
      <c r="I406" s="307">
        <v>7800</v>
      </c>
      <c r="J406" s="285" t="s">
        <v>1276</v>
      </c>
      <c r="K406" s="455">
        <v>7800</v>
      </c>
    </row>
    <row r="407" spans="1:11" s="283" customFormat="1" ht="81" customHeight="1" x14ac:dyDescent="0.25">
      <c r="A407" s="429" t="s">
        <v>1277</v>
      </c>
      <c r="B407" s="387" t="s">
        <v>1278</v>
      </c>
      <c r="C407" s="341"/>
      <c r="D407" s="245"/>
      <c r="E407" s="343">
        <v>29050</v>
      </c>
      <c r="F407" s="285" t="s">
        <v>1279</v>
      </c>
      <c r="G407" s="297">
        <v>29050</v>
      </c>
      <c r="H407" s="285" t="s">
        <v>1279</v>
      </c>
      <c r="I407" s="307">
        <v>29050</v>
      </c>
      <c r="J407" s="285" t="s">
        <v>1279</v>
      </c>
      <c r="K407" s="455">
        <v>29050</v>
      </c>
    </row>
    <row r="408" spans="1:11" s="283" customFormat="1" ht="33.75" customHeight="1" x14ac:dyDescent="0.25">
      <c r="A408" s="429" t="s">
        <v>1280</v>
      </c>
      <c r="B408" s="387" t="s">
        <v>1281</v>
      </c>
      <c r="C408" s="341"/>
      <c r="D408" s="245"/>
      <c r="E408" s="343">
        <v>7000</v>
      </c>
      <c r="F408" s="285" t="s">
        <v>1282</v>
      </c>
      <c r="G408" s="297">
        <v>7000</v>
      </c>
      <c r="H408" s="285" t="s">
        <v>1282</v>
      </c>
      <c r="I408" s="307">
        <v>7000</v>
      </c>
      <c r="J408" s="285" t="s">
        <v>1282</v>
      </c>
      <c r="K408" s="455">
        <v>7000</v>
      </c>
    </row>
    <row r="409" spans="1:11" ht="26.25" x14ac:dyDescent="0.25">
      <c r="A409" s="429" t="s">
        <v>1283</v>
      </c>
      <c r="B409" s="387" t="s">
        <v>1181</v>
      </c>
      <c r="C409" s="341"/>
      <c r="D409" s="245"/>
      <c r="E409" s="343">
        <v>500</v>
      </c>
      <c r="F409" s="285" t="s">
        <v>1284</v>
      </c>
      <c r="G409" s="297">
        <v>500</v>
      </c>
      <c r="H409" s="285" t="s">
        <v>1284</v>
      </c>
      <c r="I409" s="307">
        <v>500</v>
      </c>
      <c r="J409" s="285" t="s">
        <v>1284</v>
      </c>
      <c r="K409" s="455">
        <v>500</v>
      </c>
    </row>
    <row r="410" spans="1:11" x14ac:dyDescent="0.25">
      <c r="A410" s="337"/>
      <c r="B410" s="410" t="s">
        <v>139</v>
      </c>
      <c r="C410" s="411">
        <f>SUM(C405:C409)</f>
        <v>204000</v>
      </c>
      <c r="D410" s="244"/>
      <c r="E410" s="412">
        <f>SUM(E405:E409)</f>
        <v>112350</v>
      </c>
      <c r="F410" s="262"/>
      <c r="G410" s="296">
        <f>SUM(G405:G409)</f>
        <v>112350</v>
      </c>
      <c r="I410" s="306">
        <f>SUM(I405:I409)</f>
        <v>112350</v>
      </c>
      <c r="K410" s="454">
        <f>SUM(K405:K409)</f>
        <v>112350</v>
      </c>
    </row>
    <row r="411" spans="1:11" x14ac:dyDescent="0.25">
      <c r="A411" s="337"/>
      <c r="B411" s="401"/>
      <c r="C411" s="402"/>
      <c r="D411" s="244"/>
      <c r="E411" s="403"/>
      <c r="F411" s="262"/>
      <c r="G411" s="297"/>
      <c r="I411" s="307"/>
    </row>
    <row r="412" spans="1:11" x14ac:dyDescent="0.25">
      <c r="A412" s="430" t="s">
        <v>1142</v>
      </c>
      <c r="B412" s="401"/>
      <c r="C412" s="411"/>
      <c r="D412" s="244"/>
      <c r="E412" s="403"/>
      <c r="F412" s="262"/>
      <c r="G412" s="297"/>
      <c r="I412" s="307"/>
    </row>
    <row r="413" spans="1:11" x14ac:dyDescent="0.25">
      <c r="A413" s="430"/>
      <c r="B413" s="431" t="s">
        <v>1144</v>
      </c>
      <c r="C413" s="411"/>
      <c r="D413" s="244"/>
      <c r="E413" s="322"/>
      <c r="F413" s="137"/>
      <c r="G413" s="297"/>
      <c r="I413" s="307"/>
    </row>
    <row r="414" spans="1:11" x14ac:dyDescent="0.25">
      <c r="A414" s="430"/>
      <c r="B414" s="431" t="s">
        <v>325</v>
      </c>
      <c r="C414" s="341"/>
      <c r="D414" s="244"/>
      <c r="E414" s="322"/>
      <c r="F414" s="137"/>
      <c r="G414" s="297"/>
      <c r="I414" s="307"/>
    </row>
    <row r="415" spans="1:11" x14ac:dyDescent="0.25">
      <c r="A415" s="430"/>
      <c r="B415" s="431" t="s">
        <v>1143</v>
      </c>
      <c r="C415" s="341"/>
      <c r="D415" s="244"/>
      <c r="E415" s="343"/>
      <c r="F415" s="262"/>
      <c r="G415" s="297"/>
      <c r="I415" s="307"/>
    </row>
    <row r="416" spans="1:11" x14ac:dyDescent="0.25">
      <c r="A416" s="430"/>
      <c r="B416" s="432" t="s">
        <v>139</v>
      </c>
      <c r="C416" s="411">
        <f>SUM(C413:C415)</f>
        <v>0</v>
      </c>
      <c r="D416" s="244"/>
      <c r="E416" s="412">
        <f>SUM(E413:E415)</f>
        <v>0</v>
      </c>
      <c r="F416" s="262"/>
      <c r="G416" s="297"/>
      <c r="I416" s="307"/>
    </row>
    <row r="417" spans="1:11" s="267" customFormat="1" x14ac:dyDescent="0.25">
      <c r="A417" s="430"/>
      <c r="B417" s="432"/>
      <c r="C417" s="402"/>
      <c r="D417" s="244"/>
      <c r="E417" s="412"/>
      <c r="F417" s="262"/>
      <c r="G417" s="297"/>
      <c r="H417" s="137"/>
      <c r="I417" s="307"/>
      <c r="J417" s="137"/>
      <c r="K417" s="455"/>
    </row>
    <row r="418" spans="1:11" s="267" customFormat="1" x14ac:dyDescent="0.25">
      <c r="A418" s="430" t="s">
        <v>1285</v>
      </c>
      <c r="B418" s="432"/>
      <c r="C418" s="402"/>
      <c r="D418" s="244"/>
      <c r="E418" s="412"/>
      <c r="F418" s="262"/>
      <c r="G418" s="297"/>
      <c r="H418" s="137"/>
      <c r="I418" s="307"/>
      <c r="J418" s="137"/>
      <c r="K418" s="455"/>
    </row>
    <row r="419" spans="1:11" ht="51.75" x14ac:dyDescent="0.25">
      <c r="A419" s="138" t="s">
        <v>1286</v>
      </c>
      <c r="B419" s="138" t="s">
        <v>621</v>
      </c>
      <c r="C419" s="375"/>
      <c r="D419" s="138"/>
      <c r="E419" s="355">
        <v>6700</v>
      </c>
      <c r="F419" s="137" t="s">
        <v>1321</v>
      </c>
      <c r="G419" s="297">
        <v>6700</v>
      </c>
      <c r="H419" s="137" t="s">
        <v>1321</v>
      </c>
      <c r="I419" s="307">
        <v>6700</v>
      </c>
      <c r="J419" s="137" t="s">
        <v>1440</v>
      </c>
      <c r="K419" s="455">
        <v>6700</v>
      </c>
    </row>
    <row r="420" spans="1:11" ht="48" customHeight="1" x14ac:dyDescent="0.25">
      <c r="A420" s="138" t="s">
        <v>1291</v>
      </c>
      <c r="B420" s="327" t="s">
        <v>1281</v>
      </c>
      <c r="C420" s="375"/>
      <c r="D420" s="138"/>
      <c r="E420" s="355"/>
      <c r="F420" s="137"/>
      <c r="G420" s="297"/>
      <c r="I420" s="307">
        <v>12000</v>
      </c>
      <c r="J420" s="137" t="s">
        <v>1442</v>
      </c>
      <c r="K420" s="455">
        <v>12000</v>
      </c>
    </row>
    <row r="421" spans="1:11" ht="39" x14ac:dyDescent="0.25">
      <c r="A421" s="138" t="s">
        <v>1289</v>
      </c>
      <c r="B421" s="138" t="s">
        <v>201</v>
      </c>
      <c r="C421" s="375">
        <v>0</v>
      </c>
      <c r="D421" s="138"/>
      <c r="E421" s="355">
        <v>11000</v>
      </c>
      <c r="F421" s="137" t="s">
        <v>1287</v>
      </c>
      <c r="G421" s="297">
        <v>11000</v>
      </c>
      <c r="H421" s="137" t="s">
        <v>1287</v>
      </c>
      <c r="I421" s="307">
        <v>11000</v>
      </c>
      <c r="J421" s="137" t="s">
        <v>1287</v>
      </c>
      <c r="K421" s="455">
        <v>11000</v>
      </c>
    </row>
    <row r="422" spans="1:11" ht="26.25" x14ac:dyDescent="0.25">
      <c r="A422" s="138" t="s">
        <v>1290</v>
      </c>
      <c r="B422" s="138" t="s">
        <v>1172</v>
      </c>
      <c r="C422" s="375">
        <v>0</v>
      </c>
      <c r="D422" s="138"/>
      <c r="E422" s="355">
        <v>6500</v>
      </c>
      <c r="F422" s="137" t="s">
        <v>1288</v>
      </c>
      <c r="G422" s="297">
        <v>6500</v>
      </c>
      <c r="H422" s="137" t="s">
        <v>1288</v>
      </c>
      <c r="I422" s="307">
        <v>6500</v>
      </c>
      <c r="J422" s="137" t="s">
        <v>1288</v>
      </c>
      <c r="K422" s="455">
        <v>6500</v>
      </c>
    </row>
    <row r="423" spans="1:11" s="283" customFormat="1" ht="26.25" x14ac:dyDescent="0.25">
      <c r="A423" s="138" t="s">
        <v>1292</v>
      </c>
      <c r="B423" s="138" t="s">
        <v>1293</v>
      </c>
      <c r="C423" s="375">
        <v>25000</v>
      </c>
      <c r="D423" s="138"/>
      <c r="E423" s="355">
        <v>25000</v>
      </c>
      <c r="F423" s="137" t="s">
        <v>1294</v>
      </c>
      <c r="G423" s="297">
        <v>25000</v>
      </c>
      <c r="H423" s="137" t="s">
        <v>1294</v>
      </c>
      <c r="I423" s="307">
        <v>25000</v>
      </c>
      <c r="J423" s="137" t="s">
        <v>1294</v>
      </c>
      <c r="K423" s="455">
        <v>25000</v>
      </c>
    </row>
    <row r="424" spans="1:11" s="283" customFormat="1" ht="39" x14ac:dyDescent="0.25">
      <c r="A424" s="138" t="s">
        <v>1295</v>
      </c>
      <c r="B424" s="138" t="s">
        <v>1278</v>
      </c>
      <c r="C424" s="375">
        <v>0</v>
      </c>
      <c r="D424" s="138"/>
      <c r="E424" s="355">
        <v>29500</v>
      </c>
      <c r="F424" s="137" t="s">
        <v>1296</v>
      </c>
      <c r="G424" s="297">
        <v>29500</v>
      </c>
      <c r="H424" s="137" t="s">
        <v>1296</v>
      </c>
      <c r="I424" s="307">
        <v>28000</v>
      </c>
      <c r="J424" s="137" t="s">
        <v>1296</v>
      </c>
      <c r="K424" s="455">
        <v>28000</v>
      </c>
    </row>
    <row r="425" spans="1:11" s="283" customFormat="1" ht="47.25" customHeight="1" x14ac:dyDescent="0.25">
      <c r="A425" s="138" t="s">
        <v>1298</v>
      </c>
      <c r="B425" s="138" t="s">
        <v>325</v>
      </c>
      <c r="C425" s="375">
        <v>0</v>
      </c>
      <c r="D425" s="138"/>
      <c r="E425" s="355">
        <v>4900</v>
      </c>
      <c r="F425" s="137" t="s">
        <v>1297</v>
      </c>
      <c r="G425" s="297">
        <v>4900</v>
      </c>
      <c r="H425" s="137" t="s">
        <v>1297</v>
      </c>
      <c r="I425" s="307">
        <v>4900</v>
      </c>
      <c r="J425" s="137" t="s">
        <v>1297</v>
      </c>
      <c r="K425" s="455">
        <v>4900</v>
      </c>
    </row>
    <row r="426" spans="1:11" ht="26.25" x14ac:dyDescent="0.25">
      <c r="A426" s="327" t="s">
        <v>1299</v>
      </c>
      <c r="B426" s="138" t="s">
        <v>1300</v>
      </c>
      <c r="C426" s="375">
        <v>0</v>
      </c>
      <c r="D426" s="138"/>
      <c r="E426" s="355">
        <v>4250</v>
      </c>
      <c r="F426" s="137" t="s">
        <v>1288</v>
      </c>
      <c r="G426" s="297">
        <v>4250</v>
      </c>
      <c r="H426" s="137" t="s">
        <v>1288</v>
      </c>
      <c r="I426" s="307">
        <v>4250</v>
      </c>
      <c r="J426" s="137" t="s">
        <v>1288</v>
      </c>
      <c r="K426" s="455">
        <v>4250</v>
      </c>
    </row>
    <row r="427" spans="1:11" s="271" customFormat="1" x14ac:dyDescent="0.25">
      <c r="A427" s="138"/>
      <c r="B427" s="379" t="s">
        <v>139</v>
      </c>
      <c r="C427" s="433">
        <f>SUM(C419:C426)</f>
        <v>25000</v>
      </c>
      <c r="D427" s="138"/>
      <c r="E427" s="362">
        <f>SUM(E419:E426)</f>
        <v>87850</v>
      </c>
      <c r="F427" s="137"/>
      <c r="G427" s="296">
        <f>SUM(G419:G426)</f>
        <v>87850</v>
      </c>
      <c r="H427" s="137"/>
      <c r="I427" s="306">
        <f>SUM(I419:I426)</f>
        <v>98350</v>
      </c>
      <c r="J427" s="137"/>
      <c r="K427" s="454">
        <f>SUM(K419:K426)</f>
        <v>98350</v>
      </c>
    </row>
    <row r="428" spans="1:11" s="267" customFormat="1" x14ac:dyDescent="0.25">
      <c r="A428" s="138"/>
      <c r="B428" s="138"/>
      <c r="C428" s="375"/>
      <c r="D428" s="138"/>
      <c r="E428" s="355"/>
      <c r="F428" s="137"/>
      <c r="G428" s="297"/>
      <c r="H428" s="137"/>
      <c r="I428" s="307"/>
      <c r="J428" s="137"/>
      <c r="K428" s="455"/>
    </row>
    <row r="429" spans="1:11" s="271" customFormat="1" x14ac:dyDescent="0.25">
      <c r="A429" s="434"/>
      <c r="B429" s="360" t="s">
        <v>1173</v>
      </c>
      <c r="C429" s="436">
        <f>+C109+C111+C144+C157+C195+C208+C213+C227+C268+C281+C286+C300+C327+C338+C348+C361+C378+C391+C393+C410+C427</f>
        <v>1814587</v>
      </c>
      <c r="D429" s="437"/>
      <c r="E429" s="362">
        <f>+E109+E111+E144+E157+E195+E208+E213+E227+E268+E281+E286+E300+E327+E338+E348+E361+E378+E391+E393+E410+E427</f>
        <v>1711710</v>
      </c>
      <c r="F429" s="435"/>
      <c r="G429" s="296">
        <f>+G109+G111+G144+G157+G195+G208+G213+G227+G268+G281+G286+G300+G327+G338+G348+G361+G378+G391+G393+G410+G427</f>
        <v>1641193</v>
      </c>
      <c r="H429" s="137"/>
      <c r="I429" s="306">
        <f>+I109+I111+I144+I157+I195+I208+I213+I227+I268+I281+I286+I300+I327+I338+I348+I361+I378+I391+I393+I410+I427</f>
        <v>1526562</v>
      </c>
      <c r="J429" s="137"/>
      <c r="K429" s="454">
        <f>+K109+K111+K144+K157+K195+K208+K213+K227+K268+K281+K286+K300+K327+K338+K348+K361+K378+K391+K393+K410+K427</f>
        <v>1543446</v>
      </c>
    </row>
    <row r="430" spans="1:11" s="271" customFormat="1" x14ac:dyDescent="0.25">
      <c r="A430" s="138"/>
      <c r="B430" s="138"/>
      <c r="C430" s="375"/>
      <c r="D430" s="138"/>
      <c r="E430" s="355"/>
      <c r="F430" s="137"/>
      <c r="G430" s="297"/>
      <c r="H430" s="137"/>
      <c r="I430" s="307"/>
      <c r="J430" s="137"/>
      <c r="K430" s="455"/>
    </row>
    <row r="431" spans="1:11" ht="64.5" x14ac:dyDescent="0.25">
      <c r="A431" s="438"/>
      <c r="B431" s="439" t="s">
        <v>430</v>
      </c>
      <c r="C431" s="361">
        <f>SUM(C96-C429)</f>
        <v>140701</v>
      </c>
      <c r="D431" s="287"/>
      <c r="E431" s="362">
        <f>SUM(E96-E429)</f>
        <v>91115</v>
      </c>
      <c r="F431" s="264"/>
      <c r="G431" s="296">
        <f>SUM(G96-G429)</f>
        <v>16913</v>
      </c>
      <c r="H431" s="288" t="s">
        <v>1438</v>
      </c>
      <c r="I431" s="312">
        <f>SUM(I96-I429)</f>
        <v>27608</v>
      </c>
      <c r="J431" s="289" t="s">
        <v>1419</v>
      </c>
      <c r="K431" s="460">
        <f>SUM(K96-K429)</f>
        <v>7854</v>
      </c>
    </row>
    <row r="432" spans="1:11" ht="25.5" customHeight="1" x14ac:dyDescent="0.25">
      <c r="D432" s="142"/>
      <c r="F432" s="262"/>
    </row>
    <row r="433" spans="3:6" x14ac:dyDescent="0.25">
      <c r="C433" s="276"/>
      <c r="D433" s="245"/>
      <c r="F433" s="137"/>
    </row>
    <row r="434" spans="3:6" x14ac:dyDescent="0.25">
      <c r="D434" s="142"/>
      <c r="F434" s="137"/>
    </row>
    <row r="435" spans="3:6" x14ac:dyDescent="0.25">
      <c r="D435" s="142"/>
      <c r="F435" s="137"/>
    </row>
    <row r="436" spans="3:6" hidden="1" x14ac:dyDescent="0.25">
      <c r="D436" s="142"/>
      <c r="F436" s="137"/>
    </row>
    <row r="437" spans="3:6" hidden="1" x14ac:dyDescent="0.25"/>
    <row r="438" spans="3:6" hidden="1" x14ac:dyDescent="0.25"/>
    <row r="439" spans="3:6" hidden="1" x14ac:dyDescent="0.25"/>
    <row r="440" spans="3:6" hidden="1" x14ac:dyDescent="0.25"/>
    <row r="441" spans="3:6" hidden="1" x14ac:dyDescent="0.25"/>
    <row r="442" spans="3:6" hidden="1" x14ac:dyDescent="0.25"/>
    <row r="443" spans="3:6" hidden="1" x14ac:dyDescent="0.25"/>
    <row r="444" spans="3:6" hidden="1" x14ac:dyDescent="0.25"/>
    <row r="445" spans="3:6" hidden="1" x14ac:dyDescent="0.25"/>
    <row r="446" spans="3:6" hidden="1" x14ac:dyDescent="0.25"/>
    <row r="447" spans="3:6" hidden="1" x14ac:dyDescent="0.25"/>
    <row r="448" spans="3:6"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sheetData>
  <pageMargins left="0.2" right="0.2" top="0.75" bottom="0.75" header="0.3" footer="0.3"/>
  <pageSetup scale="84"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284"/>
  <sheetViews>
    <sheetView topLeftCell="A13" workbookViewId="0">
      <selection activeCell="R21" sqref="R21"/>
    </sheetView>
  </sheetViews>
  <sheetFormatPr defaultColWidth="8.85546875" defaultRowHeight="15" x14ac:dyDescent="0.25"/>
  <cols>
    <col min="1" max="1" width="17.140625" style="8" customWidth="1"/>
    <col min="2" max="2" width="38.85546875" style="8" customWidth="1"/>
    <col min="3" max="3" width="1" style="8" hidden="1" customWidth="1"/>
    <col min="4" max="13" width="9.140625" style="8" hidden="1" customWidth="1"/>
    <col min="14" max="14" width="8.42578125" style="8" hidden="1" customWidth="1"/>
    <col min="15" max="18" width="12.42578125" style="11" customWidth="1"/>
    <col min="19" max="20" width="12.42578125" style="12" customWidth="1"/>
    <col min="21" max="21" width="37.42578125" style="5" customWidth="1"/>
    <col min="22" max="22" width="54.42578125" style="5" customWidth="1"/>
    <col min="23" max="258" width="9.140625" style="8"/>
    <col min="259" max="259" width="17.140625" style="8" customWidth="1"/>
    <col min="260" max="260" width="38.85546875" style="8" customWidth="1"/>
    <col min="261" max="272" width="0" style="8" hidden="1" customWidth="1"/>
    <col min="273" max="276" width="12.42578125" style="8" customWidth="1"/>
    <col min="277" max="277" width="37.42578125" style="8" customWidth="1"/>
    <col min="278" max="278" width="54.42578125" style="8" customWidth="1"/>
    <col min="279" max="514" width="9.140625" style="8"/>
    <col min="515" max="515" width="17.140625" style="8" customWidth="1"/>
    <col min="516" max="516" width="38.85546875" style="8" customWidth="1"/>
    <col min="517" max="528" width="0" style="8" hidden="1" customWidth="1"/>
    <col min="529" max="532" width="12.42578125" style="8" customWidth="1"/>
    <col min="533" max="533" width="37.42578125" style="8" customWidth="1"/>
    <col min="534" max="534" width="54.42578125" style="8" customWidth="1"/>
    <col min="535" max="770" width="9.140625" style="8"/>
    <col min="771" max="771" width="17.140625" style="8" customWidth="1"/>
    <col min="772" max="772" width="38.85546875" style="8" customWidth="1"/>
    <col min="773" max="784" width="0" style="8" hidden="1" customWidth="1"/>
    <col min="785" max="788" width="12.42578125" style="8" customWidth="1"/>
    <col min="789" max="789" width="37.42578125" style="8" customWidth="1"/>
    <col min="790" max="790" width="54.42578125" style="8" customWidth="1"/>
    <col min="791" max="1026" width="9.140625" style="8"/>
    <col min="1027" max="1027" width="17.140625" style="8" customWidth="1"/>
    <col min="1028" max="1028" width="38.85546875" style="8" customWidth="1"/>
    <col min="1029" max="1040" width="0" style="8" hidden="1" customWidth="1"/>
    <col min="1041" max="1044" width="12.42578125" style="8" customWidth="1"/>
    <col min="1045" max="1045" width="37.42578125" style="8" customWidth="1"/>
    <col min="1046" max="1046" width="54.42578125" style="8" customWidth="1"/>
    <col min="1047" max="1282" width="9.140625" style="8"/>
    <col min="1283" max="1283" width="17.140625" style="8" customWidth="1"/>
    <col min="1284" max="1284" width="38.85546875" style="8" customWidth="1"/>
    <col min="1285" max="1296" width="0" style="8" hidden="1" customWidth="1"/>
    <col min="1297" max="1300" width="12.42578125" style="8" customWidth="1"/>
    <col min="1301" max="1301" width="37.42578125" style="8" customWidth="1"/>
    <col min="1302" max="1302" width="54.42578125" style="8" customWidth="1"/>
    <col min="1303" max="1538" width="9.140625" style="8"/>
    <col min="1539" max="1539" width="17.140625" style="8" customWidth="1"/>
    <col min="1540" max="1540" width="38.85546875" style="8" customWidth="1"/>
    <col min="1541" max="1552" width="0" style="8" hidden="1" customWidth="1"/>
    <col min="1553" max="1556" width="12.42578125" style="8" customWidth="1"/>
    <col min="1557" max="1557" width="37.42578125" style="8" customWidth="1"/>
    <col min="1558" max="1558" width="54.42578125" style="8" customWidth="1"/>
    <col min="1559" max="1794" width="9.140625" style="8"/>
    <col min="1795" max="1795" width="17.140625" style="8" customWidth="1"/>
    <col min="1796" max="1796" width="38.85546875" style="8" customWidth="1"/>
    <col min="1797" max="1808" width="0" style="8" hidden="1" customWidth="1"/>
    <col min="1809" max="1812" width="12.42578125" style="8" customWidth="1"/>
    <col min="1813" max="1813" width="37.42578125" style="8" customWidth="1"/>
    <col min="1814" max="1814" width="54.42578125" style="8" customWidth="1"/>
    <col min="1815" max="2050" width="9.140625" style="8"/>
    <col min="2051" max="2051" width="17.140625" style="8" customWidth="1"/>
    <col min="2052" max="2052" width="38.85546875" style="8" customWidth="1"/>
    <col min="2053" max="2064" width="0" style="8" hidden="1" customWidth="1"/>
    <col min="2065" max="2068" width="12.42578125" style="8" customWidth="1"/>
    <col min="2069" max="2069" width="37.42578125" style="8" customWidth="1"/>
    <col min="2070" max="2070" width="54.42578125" style="8" customWidth="1"/>
    <col min="2071" max="2306" width="9.140625" style="8"/>
    <col min="2307" max="2307" width="17.140625" style="8" customWidth="1"/>
    <col min="2308" max="2308" width="38.85546875" style="8" customWidth="1"/>
    <col min="2309" max="2320" width="0" style="8" hidden="1" customWidth="1"/>
    <col min="2321" max="2324" width="12.42578125" style="8" customWidth="1"/>
    <col min="2325" max="2325" width="37.42578125" style="8" customWidth="1"/>
    <col min="2326" max="2326" width="54.42578125" style="8" customWidth="1"/>
    <col min="2327" max="2562" width="9.140625" style="8"/>
    <col min="2563" max="2563" width="17.140625" style="8" customWidth="1"/>
    <col min="2564" max="2564" width="38.85546875" style="8" customWidth="1"/>
    <col min="2565" max="2576" width="0" style="8" hidden="1" customWidth="1"/>
    <col min="2577" max="2580" width="12.42578125" style="8" customWidth="1"/>
    <col min="2581" max="2581" width="37.42578125" style="8" customWidth="1"/>
    <col min="2582" max="2582" width="54.42578125" style="8" customWidth="1"/>
    <col min="2583" max="2818" width="9.140625" style="8"/>
    <col min="2819" max="2819" width="17.140625" style="8" customWidth="1"/>
    <col min="2820" max="2820" width="38.85546875" style="8" customWidth="1"/>
    <col min="2821" max="2832" width="0" style="8" hidden="1" customWidth="1"/>
    <col min="2833" max="2836" width="12.42578125" style="8" customWidth="1"/>
    <col min="2837" max="2837" width="37.42578125" style="8" customWidth="1"/>
    <col min="2838" max="2838" width="54.42578125" style="8" customWidth="1"/>
    <col min="2839" max="3074" width="9.140625" style="8"/>
    <col min="3075" max="3075" width="17.140625" style="8" customWidth="1"/>
    <col min="3076" max="3076" width="38.85546875" style="8" customWidth="1"/>
    <col min="3077" max="3088" width="0" style="8" hidden="1" customWidth="1"/>
    <col min="3089" max="3092" width="12.42578125" style="8" customWidth="1"/>
    <col min="3093" max="3093" width="37.42578125" style="8" customWidth="1"/>
    <col min="3094" max="3094" width="54.42578125" style="8" customWidth="1"/>
    <col min="3095" max="3330" width="9.140625" style="8"/>
    <col min="3331" max="3331" width="17.140625" style="8" customWidth="1"/>
    <col min="3332" max="3332" width="38.85546875" style="8" customWidth="1"/>
    <col min="3333" max="3344" width="0" style="8" hidden="1" customWidth="1"/>
    <col min="3345" max="3348" width="12.42578125" style="8" customWidth="1"/>
    <col min="3349" max="3349" width="37.42578125" style="8" customWidth="1"/>
    <col min="3350" max="3350" width="54.42578125" style="8" customWidth="1"/>
    <col min="3351" max="3586" width="9.140625" style="8"/>
    <col min="3587" max="3587" width="17.140625" style="8" customWidth="1"/>
    <col min="3588" max="3588" width="38.85546875" style="8" customWidth="1"/>
    <col min="3589" max="3600" width="0" style="8" hidden="1" customWidth="1"/>
    <col min="3601" max="3604" width="12.42578125" style="8" customWidth="1"/>
    <col min="3605" max="3605" width="37.42578125" style="8" customWidth="1"/>
    <col min="3606" max="3606" width="54.42578125" style="8" customWidth="1"/>
    <col min="3607" max="3842" width="9.140625" style="8"/>
    <col min="3843" max="3843" width="17.140625" style="8" customWidth="1"/>
    <col min="3844" max="3844" width="38.85546875" style="8" customWidth="1"/>
    <col min="3845" max="3856" width="0" style="8" hidden="1" customWidth="1"/>
    <col min="3857" max="3860" width="12.42578125" style="8" customWidth="1"/>
    <col min="3861" max="3861" width="37.42578125" style="8" customWidth="1"/>
    <col min="3862" max="3862" width="54.42578125" style="8" customWidth="1"/>
    <col min="3863" max="4098" width="9.140625" style="8"/>
    <col min="4099" max="4099" width="17.140625" style="8" customWidth="1"/>
    <col min="4100" max="4100" width="38.85546875" style="8" customWidth="1"/>
    <col min="4101" max="4112" width="0" style="8" hidden="1" customWidth="1"/>
    <col min="4113" max="4116" width="12.42578125" style="8" customWidth="1"/>
    <col min="4117" max="4117" width="37.42578125" style="8" customWidth="1"/>
    <col min="4118" max="4118" width="54.42578125" style="8" customWidth="1"/>
    <col min="4119" max="4354" width="9.140625" style="8"/>
    <col min="4355" max="4355" width="17.140625" style="8" customWidth="1"/>
    <col min="4356" max="4356" width="38.85546875" style="8" customWidth="1"/>
    <col min="4357" max="4368" width="0" style="8" hidden="1" customWidth="1"/>
    <col min="4369" max="4372" width="12.42578125" style="8" customWidth="1"/>
    <col min="4373" max="4373" width="37.42578125" style="8" customWidth="1"/>
    <col min="4374" max="4374" width="54.42578125" style="8" customWidth="1"/>
    <col min="4375" max="4610" width="9.140625" style="8"/>
    <col min="4611" max="4611" width="17.140625" style="8" customWidth="1"/>
    <col min="4612" max="4612" width="38.85546875" style="8" customWidth="1"/>
    <col min="4613" max="4624" width="0" style="8" hidden="1" customWidth="1"/>
    <col min="4625" max="4628" width="12.42578125" style="8" customWidth="1"/>
    <col min="4629" max="4629" width="37.42578125" style="8" customWidth="1"/>
    <col min="4630" max="4630" width="54.42578125" style="8" customWidth="1"/>
    <col min="4631" max="4866" width="9.140625" style="8"/>
    <col min="4867" max="4867" width="17.140625" style="8" customWidth="1"/>
    <col min="4868" max="4868" width="38.85546875" style="8" customWidth="1"/>
    <col min="4869" max="4880" width="0" style="8" hidden="1" customWidth="1"/>
    <col min="4881" max="4884" width="12.42578125" style="8" customWidth="1"/>
    <col min="4885" max="4885" width="37.42578125" style="8" customWidth="1"/>
    <col min="4886" max="4886" width="54.42578125" style="8" customWidth="1"/>
    <col min="4887" max="5122" width="9.140625" style="8"/>
    <col min="5123" max="5123" width="17.140625" style="8" customWidth="1"/>
    <col min="5124" max="5124" width="38.85546875" style="8" customWidth="1"/>
    <col min="5125" max="5136" width="0" style="8" hidden="1" customWidth="1"/>
    <col min="5137" max="5140" width="12.42578125" style="8" customWidth="1"/>
    <col min="5141" max="5141" width="37.42578125" style="8" customWidth="1"/>
    <col min="5142" max="5142" width="54.42578125" style="8" customWidth="1"/>
    <col min="5143" max="5378" width="9.140625" style="8"/>
    <col min="5379" max="5379" width="17.140625" style="8" customWidth="1"/>
    <col min="5380" max="5380" width="38.85546875" style="8" customWidth="1"/>
    <col min="5381" max="5392" width="0" style="8" hidden="1" customWidth="1"/>
    <col min="5393" max="5396" width="12.42578125" style="8" customWidth="1"/>
    <col min="5397" max="5397" width="37.42578125" style="8" customWidth="1"/>
    <col min="5398" max="5398" width="54.42578125" style="8" customWidth="1"/>
    <col min="5399" max="5634" width="9.140625" style="8"/>
    <col min="5635" max="5635" width="17.140625" style="8" customWidth="1"/>
    <col min="5636" max="5636" width="38.85546875" style="8" customWidth="1"/>
    <col min="5637" max="5648" width="0" style="8" hidden="1" customWidth="1"/>
    <col min="5649" max="5652" width="12.42578125" style="8" customWidth="1"/>
    <col min="5653" max="5653" width="37.42578125" style="8" customWidth="1"/>
    <col min="5654" max="5654" width="54.42578125" style="8" customWidth="1"/>
    <col min="5655" max="5890" width="9.140625" style="8"/>
    <col min="5891" max="5891" width="17.140625" style="8" customWidth="1"/>
    <col min="5892" max="5892" width="38.85546875" style="8" customWidth="1"/>
    <col min="5893" max="5904" width="0" style="8" hidden="1" customWidth="1"/>
    <col min="5905" max="5908" width="12.42578125" style="8" customWidth="1"/>
    <col min="5909" max="5909" width="37.42578125" style="8" customWidth="1"/>
    <col min="5910" max="5910" width="54.42578125" style="8" customWidth="1"/>
    <col min="5911" max="6146" width="9.140625" style="8"/>
    <col min="6147" max="6147" width="17.140625" style="8" customWidth="1"/>
    <col min="6148" max="6148" width="38.85546875" style="8" customWidth="1"/>
    <col min="6149" max="6160" width="0" style="8" hidden="1" customWidth="1"/>
    <col min="6161" max="6164" width="12.42578125" style="8" customWidth="1"/>
    <col min="6165" max="6165" width="37.42578125" style="8" customWidth="1"/>
    <col min="6166" max="6166" width="54.42578125" style="8" customWidth="1"/>
    <col min="6167" max="6402" width="9.140625" style="8"/>
    <col min="6403" max="6403" width="17.140625" style="8" customWidth="1"/>
    <col min="6404" max="6404" width="38.85546875" style="8" customWidth="1"/>
    <col min="6405" max="6416" width="0" style="8" hidden="1" customWidth="1"/>
    <col min="6417" max="6420" width="12.42578125" style="8" customWidth="1"/>
    <col min="6421" max="6421" width="37.42578125" style="8" customWidth="1"/>
    <col min="6422" max="6422" width="54.42578125" style="8" customWidth="1"/>
    <col min="6423" max="6658" width="9.140625" style="8"/>
    <col min="6659" max="6659" width="17.140625" style="8" customWidth="1"/>
    <col min="6660" max="6660" width="38.85546875" style="8" customWidth="1"/>
    <col min="6661" max="6672" width="0" style="8" hidden="1" customWidth="1"/>
    <col min="6673" max="6676" width="12.42578125" style="8" customWidth="1"/>
    <col min="6677" max="6677" width="37.42578125" style="8" customWidth="1"/>
    <col min="6678" max="6678" width="54.42578125" style="8" customWidth="1"/>
    <col min="6679" max="6914" width="9.140625" style="8"/>
    <col min="6915" max="6915" width="17.140625" style="8" customWidth="1"/>
    <col min="6916" max="6916" width="38.85546875" style="8" customWidth="1"/>
    <col min="6917" max="6928" width="0" style="8" hidden="1" customWidth="1"/>
    <col min="6929" max="6932" width="12.42578125" style="8" customWidth="1"/>
    <col min="6933" max="6933" width="37.42578125" style="8" customWidth="1"/>
    <col min="6934" max="6934" width="54.42578125" style="8" customWidth="1"/>
    <col min="6935" max="7170" width="9.140625" style="8"/>
    <col min="7171" max="7171" width="17.140625" style="8" customWidth="1"/>
    <col min="7172" max="7172" width="38.85546875" style="8" customWidth="1"/>
    <col min="7173" max="7184" width="0" style="8" hidden="1" customWidth="1"/>
    <col min="7185" max="7188" width="12.42578125" style="8" customWidth="1"/>
    <col min="7189" max="7189" width="37.42578125" style="8" customWidth="1"/>
    <col min="7190" max="7190" width="54.42578125" style="8" customWidth="1"/>
    <col min="7191" max="7426" width="9.140625" style="8"/>
    <col min="7427" max="7427" width="17.140625" style="8" customWidth="1"/>
    <col min="7428" max="7428" width="38.85546875" style="8" customWidth="1"/>
    <col min="7429" max="7440" width="0" style="8" hidden="1" customWidth="1"/>
    <col min="7441" max="7444" width="12.42578125" style="8" customWidth="1"/>
    <col min="7445" max="7445" width="37.42578125" style="8" customWidth="1"/>
    <col min="7446" max="7446" width="54.42578125" style="8" customWidth="1"/>
    <col min="7447" max="7682" width="9.140625" style="8"/>
    <col min="7683" max="7683" width="17.140625" style="8" customWidth="1"/>
    <col min="7684" max="7684" width="38.85546875" style="8" customWidth="1"/>
    <col min="7685" max="7696" width="0" style="8" hidden="1" customWidth="1"/>
    <col min="7697" max="7700" width="12.42578125" style="8" customWidth="1"/>
    <col min="7701" max="7701" width="37.42578125" style="8" customWidth="1"/>
    <col min="7702" max="7702" width="54.42578125" style="8" customWidth="1"/>
    <col min="7703" max="7938" width="9.140625" style="8"/>
    <col min="7939" max="7939" width="17.140625" style="8" customWidth="1"/>
    <col min="7940" max="7940" width="38.85546875" style="8" customWidth="1"/>
    <col min="7941" max="7952" width="0" style="8" hidden="1" customWidth="1"/>
    <col min="7953" max="7956" width="12.42578125" style="8" customWidth="1"/>
    <col min="7957" max="7957" width="37.42578125" style="8" customWidth="1"/>
    <col min="7958" max="7958" width="54.42578125" style="8" customWidth="1"/>
    <col min="7959" max="8194" width="9.140625" style="8"/>
    <col min="8195" max="8195" width="17.140625" style="8" customWidth="1"/>
    <col min="8196" max="8196" width="38.85546875" style="8" customWidth="1"/>
    <col min="8197" max="8208" width="0" style="8" hidden="1" customWidth="1"/>
    <col min="8209" max="8212" width="12.42578125" style="8" customWidth="1"/>
    <col min="8213" max="8213" width="37.42578125" style="8" customWidth="1"/>
    <col min="8214" max="8214" width="54.42578125" style="8" customWidth="1"/>
    <col min="8215" max="8450" width="9.140625" style="8"/>
    <col min="8451" max="8451" width="17.140625" style="8" customWidth="1"/>
    <col min="8452" max="8452" width="38.85546875" style="8" customWidth="1"/>
    <col min="8453" max="8464" width="0" style="8" hidden="1" customWidth="1"/>
    <col min="8465" max="8468" width="12.42578125" style="8" customWidth="1"/>
    <col min="8469" max="8469" width="37.42578125" style="8" customWidth="1"/>
    <col min="8470" max="8470" width="54.42578125" style="8" customWidth="1"/>
    <col min="8471" max="8706" width="9.140625" style="8"/>
    <col min="8707" max="8707" width="17.140625" style="8" customWidth="1"/>
    <col min="8708" max="8708" width="38.85546875" style="8" customWidth="1"/>
    <col min="8709" max="8720" width="0" style="8" hidden="1" customWidth="1"/>
    <col min="8721" max="8724" width="12.42578125" style="8" customWidth="1"/>
    <col min="8725" max="8725" width="37.42578125" style="8" customWidth="1"/>
    <col min="8726" max="8726" width="54.42578125" style="8" customWidth="1"/>
    <col min="8727" max="8962" width="9.140625" style="8"/>
    <col min="8963" max="8963" width="17.140625" style="8" customWidth="1"/>
    <col min="8964" max="8964" width="38.85546875" style="8" customWidth="1"/>
    <col min="8965" max="8976" width="0" style="8" hidden="1" customWidth="1"/>
    <col min="8977" max="8980" width="12.42578125" style="8" customWidth="1"/>
    <col min="8981" max="8981" width="37.42578125" style="8" customWidth="1"/>
    <col min="8982" max="8982" width="54.42578125" style="8" customWidth="1"/>
    <col min="8983" max="9218" width="9.140625" style="8"/>
    <col min="9219" max="9219" width="17.140625" style="8" customWidth="1"/>
    <col min="9220" max="9220" width="38.85546875" style="8" customWidth="1"/>
    <col min="9221" max="9232" width="0" style="8" hidden="1" customWidth="1"/>
    <col min="9233" max="9236" width="12.42578125" style="8" customWidth="1"/>
    <col min="9237" max="9237" width="37.42578125" style="8" customWidth="1"/>
    <col min="9238" max="9238" width="54.42578125" style="8" customWidth="1"/>
    <col min="9239" max="9474" width="9.140625" style="8"/>
    <col min="9475" max="9475" width="17.140625" style="8" customWidth="1"/>
    <col min="9476" max="9476" width="38.85546875" style="8" customWidth="1"/>
    <col min="9477" max="9488" width="0" style="8" hidden="1" customWidth="1"/>
    <col min="9489" max="9492" width="12.42578125" style="8" customWidth="1"/>
    <col min="9493" max="9493" width="37.42578125" style="8" customWidth="1"/>
    <col min="9494" max="9494" width="54.42578125" style="8" customWidth="1"/>
    <col min="9495" max="9730" width="9.140625" style="8"/>
    <col min="9731" max="9731" width="17.140625" style="8" customWidth="1"/>
    <col min="9732" max="9732" width="38.85546875" style="8" customWidth="1"/>
    <col min="9733" max="9744" width="0" style="8" hidden="1" customWidth="1"/>
    <col min="9745" max="9748" width="12.42578125" style="8" customWidth="1"/>
    <col min="9749" max="9749" width="37.42578125" style="8" customWidth="1"/>
    <col min="9750" max="9750" width="54.42578125" style="8" customWidth="1"/>
    <col min="9751" max="9986" width="9.140625" style="8"/>
    <col min="9987" max="9987" width="17.140625" style="8" customWidth="1"/>
    <col min="9988" max="9988" width="38.85546875" style="8" customWidth="1"/>
    <col min="9989" max="10000" width="0" style="8" hidden="1" customWidth="1"/>
    <col min="10001" max="10004" width="12.42578125" style="8" customWidth="1"/>
    <col min="10005" max="10005" width="37.42578125" style="8" customWidth="1"/>
    <col min="10006" max="10006" width="54.42578125" style="8" customWidth="1"/>
    <col min="10007" max="10242" width="9.140625" style="8"/>
    <col min="10243" max="10243" width="17.140625" style="8" customWidth="1"/>
    <col min="10244" max="10244" width="38.85546875" style="8" customWidth="1"/>
    <col min="10245" max="10256" width="0" style="8" hidden="1" customWidth="1"/>
    <col min="10257" max="10260" width="12.42578125" style="8" customWidth="1"/>
    <col min="10261" max="10261" width="37.42578125" style="8" customWidth="1"/>
    <col min="10262" max="10262" width="54.42578125" style="8" customWidth="1"/>
    <col min="10263" max="10498" width="9.140625" style="8"/>
    <col min="10499" max="10499" width="17.140625" style="8" customWidth="1"/>
    <col min="10500" max="10500" width="38.85546875" style="8" customWidth="1"/>
    <col min="10501" max="10512" width="0" style="8" hidden="1" customWidth="1"/>
    <col min="10513" max="10516" width="12.42578125" style="8" customWidth="1"/>
    <col min="10517" max="10517" width="37.42578125" style="8" customWidth="1"/>
    <col min="10518" max="10518" width="54.42578125" style="8" customWidth="1"/>
    <col min="10519" max="10754" width="9.140625" style="8"/>
    <col min="10755" max="10755" width="17.140625" style="8" customWidth="1"/>
    <col min="10756" max="10756" width="38.85546875" style="8" customWidth="1"/>
    <col min="10757" max="10768" width="0" style="8" hidden="1" customWidth="1"/>
    <col min="10769" max="10772" width="12.42578125" style="8" customWidth="1"/>
    <col min="10773" max="10773" width="37.42578125" style="8" customWidth="1"/>
    <col min="10774" max="10774" width="54.42578125" style="8" customWidth="1"/>
    <col min="10775" max="11010" width="9.140625" style="8"/>
    <col min="11011" max="11011" width="17.140625" style="8" customWidth="1"/>
    <col min="11012" max="11012" width="38.85546875" style="8" customWidth="1"/>
    <col min="11013" max="11024" width="0" style="8" hidden="1" customWidth="1"/>
    <col min="11025" max="11028" width="12.42578125" style="8" customWidth="1"/>
    <col min="11029" max="11029" width="37.42578125" style="8" customWidth="1"/>
    <col min="11030" max="11030" width="54.42578125" style="8" customWidth="1"/>
    <col min="11031" max="11266" width="9.140625" style="8"/>
    <col min="11267" max="11267" width="17.140625" style="8" customWidth="1"/>
    <col min="11268" max="11268" width="38.85546875" style="8" customWidth="1"/>
    <col min="11269" max="11280" width="0" style="8" hidden="1" customWidth="1"/>
    <col min="11281" max="11284" width="12.42578125" style="8" customWidth="1"/>
    <col min="11285" max="11285" width="37.42578125" style="8" customWidth="1"/>
    <col min="11286" max="11286" width="54.42578125" style="8" customWidth="1"/>
    <col min="11287" max="11522" width="9.140625" style="8"/>
    <col min="11523" max="11523" width="17.140625" style="8" customWidth="1"/>
    <col min="11524" max="11524" width="38.85546875" style="8" customWidth="1"/>
    <col min="11525" max="11536" width="0" style="8" hidden="1" customWidth="1"/>
    <col min="11537" max="11540" width="12.42578125" style="8" customWidth="1"/>
    <col min="11541" max="11541" width="37.42578125" style="8" customWidth="1"/>
    <col min="11542" max="11542" width="54.42578125" style="8" customWidth="1"/>
    <col min="11543" max="11778" width="9.140625" style="8"/>
    <col min="11779" max="11779" width="17.140625" style="8" customWidth="1"/>
    <col min="11780" max="11780" width="38.85546875" style="8" customWidth="1"/>
    <col min="11781" max="11792" width="0" style="8" hidden="1" customWidth="1"/>
    <col min="11793" max="11796" width="12.42578125" style="8" customWidth="1"/>
    <col min="11797" max="11797" width="37.42578125" style="8" customWidth="1"/>
    <col min="11798" max="11798" width="54.42578125" style="8" customWidth="1"/>
    <col min="11799" max="12034" width="9.140625" style="8"/>
    <col min="12035" max="12035" width="17.140625" style="8" customWidth="1"/>
    <col min="12036" max="12036" width="38.85546875" style="8" customWidth="1"/>
    <col min="12037" max="12048" width="0" style="8" hidden="1" customWidth="1"/>
    <col min="12049" max="12052" width="12.42578125" style="8" customWidth="1"/>
    <col min="12053" max="12053" width="37.42578125" style="8" customWidth="1"/>
    <col min="12054" max="12054" width="54.42578125" style="8" customWidth="1"/>
    <col min="12055" max="12290" width="9.140625" style="8"/>
    <col min="12291" max="12291" width="17.140625" style="8" customWidth="1"/>
    <col min="12292" max="12292" width="38.85546875" style="8" customWidth="1"/>
    <col min="12293" max="12304" width="0" style="8" hidden="1" customWidth="1"/>
    <col min="12305" max="12308" width="12.42578125" style="8" customWidth="1"/>
    <col min="12309" max="12309" width="37.42578125" style="8" customWidth="1"/>
    <col min="12310" max="12310" width="54.42578125" style="8" customWidth="1"/>
    <col min="12311" max="12546" width="9.140625" style="8"/>
    <col min="12547" max="12547" width="17.140625" style="8" customWidth="1"/>
    <col min="12548" max="12548" width="38.85546875" style="8" customWidth="1"/>
    <col min="12549" max="12560" width="0" style="8" hidden="1" customWidth="1"/>
    <col min="12561" max="12564" width="12.42578125" style="8" customWidth="1"/>
    <col min="12565" max="12565" width="37.42578125" style="8" customWidth="1"/>
    <col min="12566" max="12566" width="54.42578125" style="8" customWidth="1"/>
    <col min="12567" max="12802" width="9.140625" style="8"/>
    <col min="12803" max="12803" width="17.140625" style="8" customWidth="1"/>
    <col min="12804" max="12804" width="38.85546875" style="8" customWidth="1"/>
    <col min="12805" max="12816" width="0" style="8" hidden="1" customWidth="1"/>
    <col min="12817" max="12820" width="12.42578125" style="8" customWidth="1"/>
    <col min="12821" max="12821" width="37.42578125" style="8" customWidth="1"/>
    <col min="12822" max="12822" width="54.42578125" style="8" customWidth="1"/>
    <col min="12823" max="13058" width="9.140625" style="8"/>
    <col min="13059" max="13059" width="17.140625" style="8" customWidth="1"/>
    <col min="13060" max="13060" width="38.85546875" style="8" customWidth="1"/>
    <col min="13061" max="13072" width="0" style="8" hidden="1" customWidth="1"/>
    <col min="13073" max="13076" width="12.42578125" style="8" customWidth="1"/>
    <col min="13077" max="13077" width="37.42578125" style="8" customWidth="1"/>
    <col min="13078" max="13078" width="54.42578125" style="8" customWidth="1"/>
    <col min="13079" max="13314" width="9.140625" style="8"/>
    <col min="13315" max="13315" width="17.140625" style="8" customWidth="1"/>
    <col min="13316" max="13316" width="38.85546875" style="8" customWidth="1"/>
    <col min="13317" max="13328" width="0" style="8" hidden="1" customWidth="1"/>
    <col min="13329" max="13332" width="12.42578125" style="8" customWidth="1"/>
    <col min="13333" max="13333" width="37.42578125" style="8" customWidth="1"/>
    <col min="13334" max="13334" width="54.42578125" style="8" customWidth="1"/>
    <col min="13335" max="13570" width="9.140625" style="8"/>
    <col min="13571" max="13571" width="17.140625" style="8" customWidth="1"/>
    <col min="13572" max="13572" width="38.85546875" style="8" customWidth="1"/>
    <col min="13573" max="13584" width="0" style="8" hidden="1" customWidth="1"/>
    <col min="13585" max="13588" width="12.42578125" style="8" customWidth="1"/>
    <col min="13589" max="13589" width="37.42578125" style="8" customWidth="1"/>
    <col min="13590" max="13590" width="54.42578125" style="8" customWidth="1"/>
    <col min="13591" max="13826" width="9.140625" style="8"/>
    <col min="13827" max="13827" width="17.140625" style="8" customWidth="1"/>
    <col min="13828" max="13828" width="38.85546875" style="8" customWidth="1"/>
    <col min="13829" max="13840" width="0" style="8" hidden="1" customWidth="1"/>
    <col min="13841" max="13844" width="12.42578125" style="8" customWidth="1"/>
    <col min="13845" max="13845" width="37.42578125" style="8" customWidth="1"/>
    <col min="13846" max="13846" width="54.42578125" style="8" customWidth="1"/>
    <col min="13847" max="14082" width="9.140625" style="8"/>
    <col min="14083" max="14083" width="17.140625" style="8" customWidth="1"/>
    <col min="14084" max="14084" width="38.85546875" style="8" customWidth="1"/>
    <col min="14085" max="14096" width="0" style="8" hidden="1" customWidth="1"/>
    <col min="14097" max="14100" width="12.42578125" style="8" customWidth="1"/>
    <col min="14101" max="14101" width="37.42578125" style="8" customWidth="1"/>
    <col min="14102" max="14102" width="54.42578125" style="8" customWidth="1"/>
    <col min="14103" max="14338" width="9.140625" style="8"/>
    <col min="14339" max="14339" width="17.140625" style="8" customWidth="1"/>
    <col min="14340" max="14340" width="38.85546875" style="8" customWidth="1"/>
    <col min="14341" max="14352" width="0" style="8" hidden="1" customWidth="1"/>
    <col min="14353" max="14356" width="12.42578125" style="8" customWidth="1"/>
    <col min="14357" max="14357" width="37.42578125" style="8" customWidth="1"/>
    <col min="14358" max="14358" width="54.42578125" style="8" customWidth="1"/>
    <col min="14359" max="14594" width="9.140625" style="8"/>
    <col min="14595" max="14595" width="17.140625" style="8" customWidth="1"/>
    <col min="14596" max="14596" width="38.85546875" style="8" customWidth="1"/>
    <col min="14597" max="14608" width="0" style="8" hidden="1" customWidth="1"/>
    <col min="14609" max="14612" width="12.42578125" style="8" customWidth="1"/>
    <col min="14613" max="14613" width="37.42578125" style="8" customWidth="1"/>
    <col min="14614" max="14614" width="54.42578125" style="8" customWidth="1"/>
    <col min="14615" max="14850" width="9.140625" style="8"/>
    <col min="14851" max="14851" width="17.140625" style="8" customWidth="1"/>
    <col min="14852" max="14852" width="38.85546875" style="8" customWidth="1"/>
    <col min="14853" max="14864" width="0" style="8" hidden="1" customWidth="1"/>
    <col min="14865" max="14868" width="12.42578125" style="8" customWidth="1"/>
    <col min="14869" max="14869" width="37.42578125" style="8" customWidth="1"/>
    <col min="14870" max="14870" width="54.42578125" style="8" customWidth="1"/>
    <col min="14871" max="15106" width="9.140625" style="8"/>
    <col min="15107" max="15107" width="17.140625" style="8" customWidth="1"/>
    <col min="15108" max="15108" width="38.85546875" style="8" customWidth="1"/>
    <col min="15109" max="15120" width="0" style="8" hidden="1" customWidth="1"/>
    <col min="15121" max="15124" width="12.42578125" style="8" customWidth="1"/>
    <col min="15125" max="15125" width="37.42578125" style="8" customWidth="1"/>
    <col min="15126" max="15126" width="54.42578125" style="8" customWidth="1"/>
    <col min="15127" max="15362" width="9.140625" style="8"/>
    <col min="15363" max="15363" width="17.140625" style="8" customWidth="1"/>
    <col min="15364" max="15364" width="38.85546875" style="8" customWidth="1"/>
    <col min="15365" max="15376" width="0" style="8" hidden="1" customWidth="1"/>
    <col min="15377" max="15380" width="12.42578125" style="8" customWidth="1"/>
    <col min="15381" max="15381" width="37.42578125" style="8" customWidth="1"/>
    <col min="15382" max="15382" width="54.42578125" style="8" customWidth="1"/>
    <col min="15383" max="15618" width="9.140625" style="8"/>
    <col min="15619" max="15619" width="17.140625" style="8" customWidth="1"/>
    <col min="15620" max="15620" width="38.85546875" style="8" customWidth="1"/>
    <col min="15621" max="15632" width="0" style="8" hidden="1" customWidth="1"/>
    <col min="15633" max="15636" width="12.42578125" style="8" customWidth="1"/>
    <col min="15637" max="15637" width="37.42578125" style="8" customWidth="1"/>
    <col min="15638" max="15638" width="54.42578125" style="8" customWidth="1"/>
    <col min="15639" max="15874" width="9.140625" style="8"/>
    <col min="15875" max="15875" width="17.140625" style="8" customWidth="1"/>
    <col min="15876" max="15876" width="38.85546875" style="8" customWidth="1"/>
    <col min="15877" max="15888" width="0" style="8" hidden="1" customWidth="1"/>
    <col min="15889" max="15892" width="12.42578125" style="8" customWidth="1"/>
    <col min="15893" max="15893" width="37.42578125" style="8" customWidth="1"/>
    <col min="15894" max="15894" width="54.42578125" style="8" customWidth="1"/>
    <col min="15895" max="16130" width="9.140625" style="8"/>
    <col min="16131" max="16131" width="17.140625" style="8" customWidth="1"/>
    <col min="16132" max="16132" width="38.85546875" style="8" customWidth="1"/>
    <col min="16133" max="16144" width="0" style="8" hidden="1" customWidth="1"/>
    <col min="16145" max="16148" width="12.42578125" style="8" customWidth="1"/>
    <col min="16149" max="16149" width="37.42578125" style="8" customWidth="1"/>
    <col min="16150" max="16150" width="54.42578125" style="8" customWidth="1"/>
    <col min="16151" max="16384" width="9.140625" style="8"/>
  </cols>
  <sheetData>
    <row r="1" spans="1:24" s="5" customFormat="1" ht="46.5" customHeight="1" x14ac:dyDescent="0.35">
      <c r="A1" s="122"/>
      <c r="B1" s="2" t="s">
        <v>1</v>
      </c>
      <c r="C1" s="3" t="s">
        <v>2</v>
      </c>
      <c r="D1" s="3" t="s">
        <v>3</v>
      </c>
      <c r="E1" s="3" t="s">
        <v>4</v>
      </c>
      <c r="F1" s="3" t="s">
        <v>5</v>
      </c>
      <c r="G1" s="3" t="s">
        <v>6</v>
      </c>
      <c r="H1" s="3" t="s">
        <v>7</v>
      </c>
      <c r="I1" s="3" t="s">
        <v>8</v>
      </c>
      <c r="J1" s="3" t="s">
        <v>9</v>
      </c>
      <c r="K1" s="3" t="s">
        <v>10</v>
      </c>
      <c r="L1" s="3" t="s">
        <v>11</v>
      </c>
      <c r="M1" s="3" t="s">
        <v>12</v>
      </c>
      <c r="N1" s="3" t="s">
        <v>13</v>
      </c>
      <c r="O1" s="4" t="s">
        <v>939</v>
      </c>
      <c r="P1" s="4" t="s">
        <v>938</v>
      </c>
      <c r="Q1" s="4" t="s">
        <v>818</v>
      </c>
      <c r="R1" s="4" t="s">
        <v>940</v>
      </c>
      <c r="S1" s="4" t="s">
        <v>941</v>
      </c>
      <c r="T1" s="213" t="s">
        <v>942</v>
      </c>
      <c r="U1" s="1" t="s">
        <v>834</v>
      </c>
      <c r="V1" s="1"/>
    </row>
    <row r="2" spans="1:24" ht="15.75" x14ac:dyDescent="0.25">
      <c r="A2" s="6" t="s">
        <v>14</v>
      </c>
      <c r="B2" s="6"/>
      <c r="C2" s="6"/>
      <c r="D2" s="6"/>
      <c r="E2" s="6"/>
      <c r="F2" s="6"/>
      <c r="G2" s="6"/>
      <c r="H2" s="6"/>
      <c r="I2" s="6"/>
      <c r="J2" s="6"/>
      <c r="K2" s="6"/>
      <c r="L2" s="6"/>
      <c r="M2" s="6"/>
      <c r="N2" s="6"/>
      <c r="O2" s="7"/>
      <c r="P2" s="123"/>
      <c r="Q2" s="123"/>
      <c r="R2" s="123"/>
      <c r="S2" s="124"/>
      <c r="T2" s="124"/>
      <c r="U2" s="125" t="e">
        <f>+U2:U24T1U2:U25</f>
        <v>#NAME?</v>
      </c>
      <c r="V2" s="1"/>
    </row>
    <row r="3" spans="1:24" x14ac:dyDescent="0.25">
      <c r="A3" s="126" t="s">
        <v>730</v>
      </c>
      <c r="B3" s="127"/>
      <c r="C3" s="128">
        <v>0</v>
      </c>
      <c r="D3" s="128">
        <v>0</v>
      </c>
      <c r="E3" s="128">
        <v>0</v>
      </c>
      <c r="F3" s="128">
        <v>0</v>
      </c>
      <c r="G3" s="128">
        <v>0</v>
      </c>
      <c r="H3" s="128">
        <v>0</v>
      </c>
      <c r="I3" s="128">
        <v>0</v>
      </c>
      <c r="J3" s="128">
        <v>0</v>
      </c>
      <c r="K3" s="128">
        <v>0</v>
      </c>
      <c r="L3" s="128">
        <v>0</v>
      </c>
      <c r="M3" s="128">
        <v>0</v>
      </c>
      <c r="N3" s="128">
        <v>0</v>
      </c>
      <c r="O3" s="129">
        <v>558466</v>
      </c>
      <c r="P3" s="129">
        <v>588708</v>
      </c>
      <c r="Q3" s="129">
        <v>605085</v>
      </c>
      <c r="R3" s="129">
        <v>570254</v>
      </c>
      <c r="S3" s="130">
        <f>+'Draft 2021 Budget'!C5</f>
        <v>639915</v>
      </c>
      <c r="T3" s="130">
        <v>605085</v>
      </c>
      <c r="U3" s="131"/>
    </row>
    <row r="4" spans="1:24" x14ac:dyDescent="0.25">
      <c r="A4" s="440" t="s">
        <v>835</v>
      </c>
      <c r="B4" s="441"/>
      <c r="C4" s="128"/>
      <c r="D4" s="128"/>
      <c r="E4" s="128"/>
      <c r="F4" s="128"/>
      <c r="G4" s="128"/>
      <c r="H4" s="128"/>
      <c r="I4" s="128"/>
      <c r="J4" s="128"/>
      <c r="K4" s="128"/>
      <c r="L4" s="128"/>
      <c r="M4" s="128"/>
      <c r="N4" s="128"/>
      <c r="O4" s="129">
        <f t="shared" ref="O4:T4" si="0">SUM(O5:O18)</f>
        <v>521501</v>
      </c>
      <c r="P4" s="129">
        <f t="shared" si="0"/>
        <v>427482</v>
      </c>
      <c r="Q4" s="129">
        <f t="shared" si="0"/>
        <v>398101</v>
      </c>
      <c r="R4" s="129">
        <f t="shared" si="0"/>
        <v>353357.94</v>
      </c>
      <c r="S4" s="129">
        <f t="shared" si="0"/>
        <v>446778</v>
      </c>
      <c r="T4" s="129">
        <f t="shared" si="0"/>
        <v>473850</v>
      </c>
      <c r="U4" s="131"/>
    </row>
    <row r="5" spans="1:24" s="138" customFormat="1" ht="12.75" x14ac:dyDescent="0.2">
      <c r="A5" s="132" t="s">
        <v>836</v>
      </c>
      <c r="B5" s="133"/>
      <c r="C5" s="134"/>
      <c r="D5" s="134"/>
      <c r="E5" s="134"/>
      <c r="F5" s="134"/>
      <c r="G5" s="134"/>
      <c r="H5" s="134"/>
      <c r="I5" s="134"/>
      <c r="J5" s="134"/>
      <c r="K5" s="134"/>
      <c r="L5" s="134"/>
      <c r="M5" s="134"/>
      <c r="N5" s="134"/>
      <c r="O5" s="135">
        <v>43331</v>
      </c>
      <c r="P5" s="135">
        <f>10540+1157+26120+1105+6237</f>
        <v>45159</v>
      </c>
      <c r="Q5" s="135">
        <v>43331</v>
      </c>
      <c r="R5" s="135">
        <v>45864</v>
      </c>
      <c r="S5" s="136">
        <f>10739+46323+9069+120</f>
        <v>66251</v>
      </c>
      <c r="T5" s="136">
        <f>15000+47000+9780+150</f>
        <v>71930</v>
      </c>
      <c r="U5" s="131"/>
      <c r="V5" s="137"/>
    </row>
    <row r="6" spans="1:24" s="138" customFormat="1" ht="12.75" x14ac:dyDescent="0.2">
      <c r="A6" s="132" t="s">
        <v>837</v>
      </c>
      <c r="B6" s="139"/>
      <c r="C6" s="140"/>
      <c r="D6" s="140"/>
      <c r="E6" s="140"/>
      <c r="F6" s="140"/>
      <c r="G6" s="140"/>
      <c r="H6" s="140"/>
      <c r="I6" s="140"/>
      <c r="J6" s="140"/>
      <c r="K6" s="140"/>
      <c r="L6" s="140"/>
      <c r="M6" s="140"/>
      <c r="N6" s="140"/>
      <c r="O6" s="135">
        <v>42098</v>
      </c>
      <c r="P6" s="135">
        <f>1686+195+18893+20075+2866</f>
        <v>43715</v>
      </c>
      <c r="Q6" s="135">
        <v>42098</v>
      </c>
      <c r="R6" s="135">
        <f>719.87+129.05+0+3469.81+9289.22</f>
        <v>13607.949999999999</v>
      </c>
      <c r="S6" s="141">
        <f>1440+129+22000+14138+2800</f>
        <v>40507</v>
      </c>
      <c r="T6" s="141">
        <f>1440+150+24000+15000+2800+2500</f>
        <v>45890</v>
      </c>
      <c r="U6" s="131"/>
      <c r="V6" s="137"/>
      <c r="X6" s="142"/>
    </row>
    <row r="7" spans="1:24" s="138" customFormat="1" ht="12.75" x14ac:dyDescent="0.2">
      <c r="A7" s="132" t="s">
        <v>277</v>
      </c>
      <c r="B7" s="139"/>
      <c r="C7" s="140"/>
      <c r="D7" s="140"/>
      <c r="E7" s="140"/>
      <c r="F7" s="140"/>
      <c r="G7" s="140"/>
      <c r="H7" s="140"/>
      <c r="I7" s="140"/>
      <c r="J7" s="140"/>
      <c r="K7" s="140"/>
      <c r="L7" s="140"/>
      <c r="M7" s="140"/>
      <c r="N7" s="140"/>
      <c r="O7" s="135">
        <v>73925</v>
      </c>
      <c r="P7" s="135">
        <v>63821</v>
      </c>
      <c r="Q7" s="135">
        <v>73925</v>
      </c>
      <c r="R7" s="135">
        <v>47515</v>
      </c>
      <c r="S7" s="141">
        <v>56852</v>
      </c>
      <c r="T7" s="141">
        <f>+'Draft 2021 Budget'!E42</f>
        <v>24375</v>
      </c>
      <c r="U7" s="131"/>
      <c r="V7" s="137"/>
      <c r="X7" s="142"/>
    </row>
    <row r="8" spans="1:24" s="138" customFormat="1" ht="12.75" x14ac:dyDescent="0.2">
      <c r="A8" s="143" t="s">
        <v>838</v>
      </c>
      <c r="B8" s="139" t="s">
        <v>70</v>
      </c>
      <c r="C8" s="140">
        <v>0</v>
      </c>
      <c r="D8" s="140">
        <v>0</v>
      </c>
      <c r="E8" s="140">
        <v>0</v>
      </c>
      <c r="F8" s="140">
        <v>0</v>
      </c>
      <c r="G8" s="140">
        <v>0</v>
      </c>
      <c r="H8" s="140">
        <v>0</v>
      </c>
      <c r="I8" s="140">
        <v>0</v>
      </c>
      <c r="J8" s="140">
        <v>0</v>
      </c>
      <c r="K8" s="140">
        <v>0</v>
      </c>
      <c r="L8" s="140">
        <v>0</v>
      </c>
      <c r="M8" s="140">
        <v>0</v>
      </c>
      <c r="N8" s="140">
        <v>0</v>
      </c>
      <c r="O8" s="135">
        <v>516</v>
      </c>
      <c r="P8" s="135">
        <v>917</v>
      </c>
      <c r="Q8" s="135">
        <v>516</v>
      </c>
      <c r="R8" s="135">
        <v>0</v>
      </c>
      <c r="S8" s="141">
        <v>0</v>
      </c>
      <c r="T8" s="141">
        <v>0</v>
      </c>
      <c r="U8" s="131"/>
      <c r="V8" s="137"/>
      <c r="X8" s="142"/>
    </row>
    <row r="9" spans="1:24" s="138" customFormat="1" ht="12.75" x14ac:dyDescent="0.2">
      <c r="A9" s="139"/>
      <c r="B9" s="139" t="s">
        <v>72</v>
      </c>
      <c r="C9" s="140">
        <v>0</v>
      </c>
      <c r="D9" s="140">
        <v>0</v>
      </c>
      <c r="E9" s="140">
        <v>0</v>
      </c>
      <c r="F9" s="140">
        <v>0</v>
      </c>
      <c r="G9" s="140">
        <v>0</v>
      </c>
      <c r="H9" s="140">
        <v>0</v>
      </c>
      <c r="I9" s="140">
        <v>0</v>
      </c>
      <c r="J9" s="140">
        <v>0</v>
      </c>
      <c r="K9" s="140">
        <v>0</v>
      </c>
      <c r="L9" s="140">
        <v>0</v>
      </c>
      <c r="M9" s="140">
        <v>0</v>
      </c>
      <c r="N9" s="140">
        <v>0</v>
      </c>
      <c r="O9" s="135">
        <v>0</v>
      </c>
      <c r="P9" s="135">
        <v>8323</v>
      </c>
      <c r="Q9" s="135">
        <v>0</v>
      </c>
      <c r="R9" s="135">
        <v>19156.990000000002</v>
      </c>
      <c r="S9" s="141">
        <v>29145</v>
      </c>
      <c r="T9" s="141">
        <v>40000</v>
      </c>
      <c r="U9" s="131"/>
      <c r="V9" s="137"/>
      <c r="X9" s="142"/>
    </row>
    <row r="10" spans="1:24" s="138" customFormat="1" ht="12.75" x14ac:dyDescent="0.2">
      <c r="A10" s="139"/>
      <c r="B10" s="139" t="s">
        <v>74</v>
      </c>
      <c r="C10" s="140">
        <v>0</v>
      </c>
      <c r="D10" s="140">
        <v>0</v>
      </c>
      <c r="E10" s="140">
        <v>0</v>
      </c>
      <c r="F10" s="140">
        <v>0</v>
      </c>
      <c r="G10" s="140">
        <v>0</v>
      </c>
      <c r="H10" s="140">
        <v>0</v>
      </c>
      <c r="I10" s="140">
        <v>0</v>
      </c>
      <c r="J10" s="140">
        <v>0</v>
      </c>
      <c r="K10" s="140">
        <v>0</v>
      </c>
      <c r="L10" s="140">
        <v>0</v>
      </c>
      <c r="M10" s="140">
        <v>0</v>
      </c>
      <c r="N10" s="140">
        <v>0</v>
      </c>
      <c r="O10" s="135">
        <v>34482</v>
      </c>
      <c r="P10" s="135">
        <v>40628</v>
      </c>
      <c r="Q10" s="135">
        <v>34482</v>
      </c>
      <c r="R10" s="135">
        <v>0</v>
      </c>
      <c r="S10" s="141">
        <v>40000</v>
      </c>
      <c r="T10" s="141">
        <v>0</v>
      </c>
      <c r="U10" s="131"/>
      <c r="V10" s="137"/>
      <c r="X10" s="142"/>
    </row>
    <row r="11" spans="1:24" s="138" customFormat="1" ht="12.75" x14ac:dyDescent="0.2">
      <c r="A11" s="139"/>
      <c r="B11" s="139" t="s">
        <v>839</v>
      </c>
      <c r="C11" s="140">
        <v>0</v>
      </c>
      <c r="D11" s="140">
        <v>0</v>
      </c>
      <c r="E11" s="140">
        <v>0</v>
      </c>
      <c r="F11" s="140">
        <v>0</v>
      </c>
      <c r="G11" s="140">
        <v>0</v>
      </c>
      <c r="H11" s="140">
        <v>0</v>
      </c>
      <c r="I11" s="140">
        <v>0</v>
      </c>
      <c r="J11" s="140">
        <v>0</v>
      </c>
      <c r="K11" s="140">
        <v>0</v>
      </c>
      <c r="L11" s="140">
        <v>0</v>
      </c>
      <c r="M11" s="140">
        <v>0</v>
      </c>
      <c r="N11" s="140">
        <v>0</v>
      </c>
      <c r="O11" s="135">
        <v>93</v>
      </c>
      <c r="P11" s="135">
        <v>0</v>
      </c>
      <c r="Q11" s="135">
        <v>93</v>
      </c>
      <c r="R11" s="135">
        <v>0</v>
      </c>
      <c r="S11" s="141">
        <v>0</v>
      </c>
      <c r="T11" s="141">
        <v>0</v>
      </c>
      <c r="U11" s="131"/>
      <c r="V11" s="137"/>
      <c r="X11" s="142"/>
    </row>
    <row r="12" spans="1:24" s="138" customFormat="1" ht="12.75" x14ac:dyDescent="0.2">
      <c r="A12" s="139"/>
      <c r="B12" s="139" t="s">
        <v>840</v>
      </c>
      <c r="C12" s="140"/>
      <c r="D12" s="140"/>
      <c r="E12" s="140"/>
      <c r="F12" s="140"/>
      <c r="G12" s="140"/>
      <c r="H12" s="140"/>
      <c r="I12" s="140"/>
      <c r="J12" s="140"/>
      <c r="K12" s="140"/>
      <c r="L12" s="140"/>
      <c r="M12" s="140"/>
      <c r="N12" s="140"/>
      <c r="O12" s="135">
        <v>0</v>
      </c>
      <c r="P12" s="135">
        <v>0</v>
      </c>
      <c r="Q12" s="135">
        <v>0</v>
      </c>
      <c r="R12" s="135">
        <v>0</v>
      </c>
      <c r="S12" s="141">
        <v>0</v>
      </c>
      <c r="T12" s="141">
        <v>0</v>
      </c>
      <c r="U12" s="131"/>
      <c r="V12" s="137"/>
      <c r="X12" s="142"/>
    </row>
    <row r="13" spans="1:24" s="138" customFormat="1" ht="12.75" x14ac:dyDescent="0.2">
      <c r="A13" s="139"/>
      <c r="B13" s="139" t="s">
        <v>82</v>
      </c>
      <c r="C13" s="140">
        <v>0</v>
      </c>
      <c r="D13" s="140">
        <v>0</v>
      </c>
      <c r="E13" s="140">
        <v>0</v>
      </c>
      <c r="F13" s="140">
        <v>0</v>
      </c>
      <c r="G13" s="140">
        <v>0</v>
      </c>
      <c r="H13" s="140">
        <v>0</v>
      </c>
      <c r="I13" s="140">
        <v>0</v>
      </c>
      <c r="J13" s="140">
        <v>0</v>
      </c>
      <c r="K13" s="140">
        <v>0</v>
      </c>
      <c r="L13" s="140">
        <v>0</v>
      </c>
      <c r="M13" s="140">
        <v>0</v>
      </c>
      <c r="N13" s="140">
        <v>0</v>
      </c>
      <c r="O13" s="135">
        <v>5000</v>
      </c>
      <c r="P13" s="135">
        <v>0</v>
      </c>
      <c r="Q13" s="135">
        <v>5000</v>
      </c>
      <c r="R13" s="135">
        <v>0</v>
      </c>
      <c r="S13" s="141">
        <v>0</v>
      </c>
      <c r="T13" s="141">
        <v>0</v>
      </c>
      <c r="U13" s="131"/>
      <c r="V13" s="144"/>
      <c r="X13" s="142"/>
    </row>
    <row r="14" spans="1:24" s="138" customFormat="1" ht="12.75" x14ac:dyDescent="0.2">
      <c r="A14" s="139"/>
      <c r="B14" s="139" t="s">
        <v>841</v>
      </c>
      <c r="C14" s="140"/>
      <c r="D14" s="140"/>
      <c r="E14" s="140"/>
      <c r="F14" s="140"/>
      <c r="G14" s="140"/>
      <c r="H14" s="140"/>
      <c r="I14" s="140"/>
      <c r="J14" s="140"/>
      <c r="K14" s="140"/>
      <c r="L14" s="140"/>
      <c r="M14" s="140"/>
      <c r="N14" s="140"/>
      <c r="O14" s="135"/>
      <c r="P14" s="135">
        <v>0</v>
      </c>
      <c r="Q14" s="135"/>
      <c r="R14" s="135">
        <v>0</v>
      </c>
      <c r="S14" s="141">
        <v>0</v>
      </c>
      <c r="T14" s="141">
        <v>0</v>
      </c>
      <c r="U14" s="131"/>
      <c r="V14" s="144"/>
      <c r="X14" s="145"/>
    </row>
    <row r="15" spans="1:24" s="138" customFormat="1" ht="12.75" x14ac:dyDescent="0.2">
      <c r="A15" s="139"/>
      <c r="B15" s="139" t="s">
        <v>842</v>
      </c>
      <c r="C15" s="140">
        <v>5500</v>
      </c>
      <c r="D15" s="140">
        <v>0</v>
      </c>
      <c r="E15" s="140">
        <v>0</v>
      </c>
      <c r="F15" s="140">
        <v>0</v>
      </c>
      <c r="G15" s="140">
        <v>0</v>
      </c>
      <c r="H15" s="140">
        <v>0</v>
      </c>
      <c r="I15" s="140">
        <v>0</v>
      </c>
      <c r="J15" s="140">
        <v>0</v>
      </c>
      <c r="K15" s="140">
        <v>0</v>
      </c>
      <c r="L15" s="140">
        <v>0</v>
      </c>
      <c r="M15" s="140">
        <v>0</v>
      </c>
      <c r="N15" s="140">
        <v>0</v>
      </c>
      <c r="O15" s="135">
        <v>5500</v>
      </c>
      <c r="P15" s="135">
        <v>5500</v>
      </c>
      <c r="Q15" s="135">
        <v>5500</v>
      </c>
      <c r="R15" s="135">
        <v>5500</v>
      </c>
      <c r="S15" s="141">
        <v>5500</v>
      </c>
      <c r="T15" s="141">
        <v>5500</v>
      </c>
      <c r="U15" s="131"/>
      <c r="V15" s="144"/>
    </row>
    <row r="16" spans="1:24" s="138" customFormat="1" ht="12.75" x14ac:dyDescent="0.2">
      <c r="A16" s="143" t="s">
        <v>85</v>
      </c>
      <c r="B16" s="139"/>
      <c r="C16" s="140"/>
      <c r="D16" s="140"/>
      <c r="E16" s="140"/>
      <c r="F16" s="140"/>
      <c r="G16" s="140"/>
      <c r="H16" s="140"/>
      <c r="I16" s="140"/>
      <c r="J16" s="140"/>
      <c r="K16" s="140"/>
      <c r="L16" s="140"/>
      <c r="M16" s="140"/>
      <c r="N16" s="140"/>
      <c r="O16" s="135">
        <v>91500</v>
      </c>
      <c r="P16" s="135">
        <f>33500+29500+18000</f>
        <v>81000</v>
      </c>
      <c r="Q16" s="135">
        <v>91500</v>
      </c>
      <c r="R16" s="135">
        <f>21000+8190+37500+18500</f>
        <v>85190</v>
      </c>
      <c r="S16" s="141">
        <v>85190</v>
      </c>
      <c r="T16" s="141">
        <f>25000+27000+28800</f>
        <v>80800</v>
      </c>
      <c r="U16" s="131"/>
      <c r="V16" s="144"/>
    </row>
    <row r="17" spans="1:22" s="138" customFormat="1" ht="12.75" x14ac:dyDescent="0.2">
      <c r="A17" s="143" t="s">
        <v>843</v>
      </c>
      <c r="B17" s="139" t="s">
        <v>844</v>
      </c>
      <c r="C17" s="140"/>
      <c r="D17" s="140"/>
      <c r="E17" s="140"/>
      <c r="F17" s="140"/>
      <c r="G17" s="140"/>
      <c r="H17" s="140"/>
      <c r="I17" s="140"/>
      <c r="J17" s="140"/>
      <c r="K17" s="140"/>
      <c r="L17" s="140"/>
      <c r="M17" s="140"/>
      <c r="N17" s="140"/>
      <c r="O17" s="135">
        <v>225056</v>
      </c>
      <c r="P17" s="135">
        <f>1411164-1272745</f>
        <v>138419</v>
      </c>
      <c r="Q17" s="135">
        <f>1447098-1345442</f>
        <v>101656</v>
      </c>
      <c r="R17" s="135">
        <f>353358-216834</f>
        <v>136524</v>
      </c>
      <c r="S17" s="141">
        <f>1465564-1365007+10000+85</f>
        <v>110642</v>
      </c>
      <c r="T17" s="141">
        <f>1578597-1373242</f>
        <v>205355</v>
      </c>
      <c r="U17" s="131"/>
      <c r="V17" s="144"/>
    </row>
    <row r="18" spans="1:22" s="138" customFormat="1" ht="12.75" x14ac:dyDescent="0.2">
      <c r="A18" s="132" t="s">
        <v>845</v>
      </c>
      <c r="B18" s="133"/>
      <c r="C18" s="134"/>
      <c r="D18" s="134"/>
      <c r="E18" s="134"/>
      <c r="F18" s="134"/>
      <c r="G18" s="134"/>
      <c r="H18" s="134"/>
      <c r="I18" s="134"/>
      <c r="J18" s="134"/>
      <c r="K18" s="134"/>
      <c r="L18" s="134"/>
      <c r="M18" s="134"/>
      <c r="N18" s="134"/>
      <c r="O18" s="135"/>
      <c r="P18" s="135"/>
      <c r="Q18" s="135">
        <v>0</v>
      </c>
      <c r="R18" s="135"/>
      <c r="S18" s="141">
        <f>7300+5391</f>
        <v>12691</v>
      </c>
      <c r="T18" s="141"/>
      <c r="U18" s="131"/>
      <c r="V18" s="137"/>
    </row>
    <row r="19" spans="1:22" x14ac:dyDescent="0.25">
      <c r="A19" s="126" t="s">
        <v>207</v>
      </c>
      <c r="B19" s="146"/>
      <c r="C19" s="128"/>
      <c r="D19" s="128"/>
      <c r="E19" s="128"/>
      <c r="F19" s="128"/>
      <c r="G19" s="128"/>
      <c r="H19" s="128"/>
      <c r="I19" s="128"/>
      <c r="J19" s="128"/>
      <c r="K19" s="128"/>
      <c r="L19" s="128"/>
      <c r="M19" s="128"/>
      <c r="N19" s="128"/>
      <c r="O19" s="129">
        <v>303225</v>
      </c>
      <c r="P19" s="129">
        <v>311000</v>
      </c>
      <c r="Q19" s="129">
        <v>359910</v>
      </c>
      <c r="R19" s="129">
        <v>422786</v>
      </c>
      <c r="S19" s="130">
        <v>422786</v>
      </c>
      <c r="T19" s="130">
        <f>31350+33000+4000+175750+9925+17585+11000+33000+10000</f>
        <v>325610</v>
      </c>
      <c r="U19" s="147"/>
    </row>
    <row r="20" spans="1:22" x14ac:dyDescent="0.25">
      <c r="A20" s="126" t="s">
        <v>846</v>
      </c>
      <c r="B20" s="146"/>
      <c r="C20" s="128"/>
      <c r="D20" s="128"/>
      <c r="E20" s="128"/>
      <c r="F20" s="128"/>
      <c r="G20" s="128"/>
      <c r="H20" s="128"/>
      <c r="I20" s="128"/>
      <c r="J20" s="128"/>
      <c r="K20" s="128"/>
      <c r="L20" s="128"/>
      <c r="M20" s="128"/>
      <c r="N20" s="128"/>
      <c r="O20" s="129">
        <v>59536</v>
      </c>
      <c r="P20" s="129">
        <v>83974</v>
      </c>
      <c r="Q20" s="129">
        <f>54002+30000</f>
        <v>84002</v>
      </c>
      <c r="R20" s="129">
        <v>24992</v>
      </c>
      <c r="S20" s="214">
        <v>67121</v>
      </c>
      <c r="T20" s="214">
        <v>87977</v>
      </c>
      <c r="U20" s="147"/>
    </row>
    <row r="21" spans="1:22" x14ac:dyDescent="0.25">
      <c r="A21" s="442" t="s">
        <v>739</v>
      </c>
      <c r="B21" s="443"/>
      <c r="C21" s="21">
        <v>0</v>
      </c>
      <c r="D21" s="21">
        <v>0</v>
      </c>
      <c r="E21" s="21">
        <v>0</v>
      </c>
      <c r="F21" s="21">
        <f t="shared" ref="F21:N21" si="1">SUM(F19:F20)</f>
        <v>0</v>
      </c>
      <c r="G21" s="21">
        <f t="shared" si="1"/>
        <v>0</v>
      </c>
      <c r="H21" s="21">
        <f t="shared" si="1"/>
        <v>0</v>
      </c>
      <c r="I21" s="21">
        <f t="shared" si="1"/>
        <v>0</v>
      </c>
      <c r="J21" s="21">
        <f t="shared" si="1"/>
        <v>0</v>
      </c>
      <c r="K21" s="21">
        <f t="shared" si="1"/>
        <v>0</v>
      </c>
      <c r="L21" s="21">
        <f t="shared" si="1"/>
        <v>0</v>
      </c>
      <c r="M21" s="21">
        <f t="shared" si="1"/>
        <v>0</v>
      </c>
      <c r="N21" s="21">
        <f t="shared" si="1"/>
        <v>0</v>
      </c>
      <c r="O21" s="22">
        <f t="shared" ref="O21:T21" si="2">SUM(O3,O4,O19,O20)</f>
        <v>1442728</v>
      </c>
      <c r="P21" s="22">
        <f t="shared" si="2"/>
        <v>1411164</v>
      </c>
      <c r="Q21" s="22">
        <f t="shared" si="2"/>
        <v>1447098</v>
      </c>
      <c r="R21" s="22">
        <f t="shared" si="2"/>
        <v>1371389.94</v>
      </c>
      <c r="S21" s="22">
        <f t="shared" si="2"/>
        <v>1576600</v>
      </c>
      <c r="T21" s="22">
        <f t="shared" si="2"/>
        <v>1492522</v>
      </c>
      <c r="U21" s="131"/>
      <c r="V21" s="148"/>
    </row>
    <row r="22" spans="1:22" ht="15.75" x14ac:dyDescent="0.25">
      <c r="A22" s="6" t="s">
        <v>742</v>
      </c>
      <c r="B22" s="6"/>
      <c r="C22" s="6"/>
      <c r="D22" s="6"/>
      <c r="E22" s="6"/>
      <c r="F22" s="6"/>
      <c r="G22" s="6"/>
      <c r="H22" s="6"/>
      <c r="I22" s="6"/>
      <c r="J22" s="6"/>
      <c r="K22" s="6"/>
      <c r="L22" s="6"/>
      <c r="M22" s="6"/>
      <c r="N22" s="6"/>
      <c r="O22" s="124"/>
      <c r="P22" s="124"/>
      <c r="Q22" s="124"/>
      <c r="R22" s="124"/>
      <c r="S22" s="124"/>
      <c r="T22" s="124"/>
      <c r="U22" s="131"/>
    </row>
    <row r="23" spans="1:22" x14ac:dyDescent="0.25">
      <c r="A23" s="149" t="s">
        <v>847</v>
      </c>
      <c r="B23" s="127"/>
      <c r="C23" s="128"/>
      <c r="D23" s="128"/>
      <c r="E23" s="128"/>
      <c r="F23" s="128"/>
      <c r="G23" s="128"/>
      <c r="H23" s="128"/>
      <c r="I23" s="128"/>
      <c r="J23" s="128"/>
      <c r="K23" s="128"/>
      <c r="L23" s="128"/>
      <c r="M23" s="128"/>
      <c r="N23" s="128"/>
      <c r="O23" s="129">
        <f t="shared" ref="O23:T23" si="3">O24+O25+O29+O32</f>
        <v>550144</v>
      </c>
      <c r="P23" s="129">
        <f t="shared" si="3"/>
        <v>622409</v>
      </c>
      <c r="Q23" s="129">
        <f t="shared" si="3"/>
        <v>550144</v>
      </c>
      <c r="R23" s="129">
        <f t="shared" si="3"/>
        <v>458134</v>
      </c>
      <c r="S23" s="129">
        <f t="shared" si="3"/>
        <v>629768</v>
      </c>
      <c r="T23" s="129">
        <f t="shared" si="3"/>
        <v>617511</v>
      </c>
      <c r="U23" s="131"/>
      <c r="V23" s="8"/>
    </row>
    <row r="24" spans="1:22" ht="19.5" customHeight="1" x14ac:dyDescent="0.25">
      <c r="A24" s="150" t="s">
        <v>746</v>
      </c>
      <c r="B24" s="133"/>
      <c r="C24" s="151">
        <v>42789.06</v>
      </c>
      <c r="D24" s="151">
        <v>42789.06</v>
      </c>
      <c r="E24" s="151">
        <v>42789.06</v>
      </c>
      <c r="F24" s="151">
        <v>42789.06</v>
      </c>
      <c r="G24" s="151">
        <v>42789.06</v>
      </c>
      <c r="H24" s="151">
        <v>42789.06</v>
      </c>
      <c r="I24" s="151">
        <v>42789.06</v>
      </c>
      <c r="J24" s="151">
        <v>42789.06</v>
      </c>
      <c r="K24" s="151">
        <v>42789.06</v>
      </c>
      <c r="L24" s="151">
        <v>42789.06</v>
      </c>
      <c r="M24" s="151">
        <v>42789.06</v>
      </c>
      <c r="N24" s="151">
        <v>42789.06</v>
      </c>
      <c r="O24" s="152">
        <v>428310</v>
      </c>
      <c r="P24" s="152">
        <v>503346</v>
      </c>
      <c r="Q24" s="152">
        <v>428310</v>
      </c>
      <c r="R24" s="152">
        <v>371179</v>
      </c>
      <c r="S24" s="153">
        <v>514702</v>
      </c>
      <c r="T24" s="153">
        <f>+'Draft 2021 Budget'!E115</f>
        <v>501683</v>
      </c>
      <c r="U24" s="131"/>
      <c r="V24" s="8"/>
    </row>
    <row r="25" spans="1:22" x14ac:dyDescent="0.25">
      <c r="A25" s="150" t="s">
        <v>749</v>
      </c>
      <c r="B25" s="154"/>
      <c r="C25" s="151"/>
      <c r="D25" s="151"/>
      <c r="E25" s="151"/>
      <c r="F25" s="151"/>
      <c r="G25" s="151"/>
      <c r="H25" s="151"/>
      <c r="I25" s="151"/>
      <c r="J25" s="151"/>
      <c r="K25" s="151"/>
      <c r="L25" s="151"/>
      <c r="M25" s="151"/>
      <c r="N25" s="151"/>
      <c r="O25" s="152">
        <f>SUM(O26:O28)</f>
        <v>29673</v>
      </c>
      <c r="P25" s="152">
        <v>49151</v>
      </c>
      <c r="Q25" s="152">
        <f>SUM(Q26:Q28)</f>
        <v>29673</v>
      </c>
      <c r="R25" s="152">
        <v>28319</v>
      </c>
      <c r="S25" s="152">
        <f>140+38693</f>
        <v>38833</v>
      </c>
      <c r="T25" s="152">
        <f>+'Draft 2021 Budget'!E116+'Draft 2021 Budget'!E117</f>
        <v>40079</v>
      </c>
      <c r="U25" s="131"/>
      <c r="V25" s="8"/>
    </row>
    <row r="26" spans="1:22" hidden="1" x14ac:dyDescent="0.25">
      <c r="A26" s="155" t="s">
        <v>143</v>
      </c>
      <c r="B26" s="156" t="s">
        <v>144</v>
      </c>
      <c r="C26" s="151">
        <v>34.43</v>
      </c>
      <c r="D26" s="151">
        <v>34.340000000000003</v>
      </c>
      <c r="E26" s="151">
        <v>34.340000000000003</v>
      </c>
      <c r="F26" s="151">
        <v>34.340000000000003</v>
      </c>
      <c r="G26" s="151">
        <v>34.340000000000003</v>
      </c>
      <c r="H26" s="151">
        <v>34.340000000000003</v>
      </c>
      <c r="I26" s="151">
        <v>466.77</v>
      </c>
      <c r="J26" s="151">
        <v>459</v>
      </c>
      <c r="K26" s="151">
        <v>458.83</v>
      </c>
      <c r="L26" s="151">
        <v>458.83</v>
      </c>
      <c r="M26" s="151">
        <v>458.83</v>
      </c>
      <c r="N26" s="151">
        <v>457</v>
      </c>
      <c r="O26" s="152">
        <v>2880</v>
      </c>
      <c r="P26" s="152">
        <v>2880</v>
      </c>
      <c r="Q26" s="152">
        <v>2880</v>
      </c>
      <c r="R26" s="152"/>
      <c r="S26" s="153">
        <f>SUM(C26:N26)</f>
        <v>2965.39</v>
      </c>
      <c r="T26" s="153"/>
      <c r="U26" s="131" t="s">
        <v>848</v>
      </c>
      <c r="V26" s="8"/>
    </row>
    <row r="27" spans="1:22" hidden="1" x14ac:dyDescent="0.25">
      <c r="A27" s="155" t="s">
        <v>145</v>
      </c>
      <c r="B27" s="156" t="s">
        <v>146</v>
      </c>
      <c r="C27" s="151">
        <v>3282.89</v>
      </c>
      <c r="D27" s="151">
        <v>3282.89</v>
      </c>
      <c r="E27" s="151">
        <v>3282.89</v>
      </c>
      <c r="F27" s="151">
        <v>3282.89</v>
      </c>
      <c r="G27" s="151">
        <v>3282.89</v>
      </c>
      <c r="H27" s="151">
        <v>3282.89</v>
      </c>
      <c r="I27" s="151">
        <v>3282.89</v>
      </c>
      <c r="J27" s="151">
        <v>3282.89</v>
      </c>
      <c r="K27" s="151">
        <v>3282.89</v>
      </c>
      <c r="L27" s="151">
        <v>3282.89</v>
      </c>
      <c r="M27" s="151">
        <v>3282.89</v>
      </c>
      <c r="N27" s="151">
        <v>3282.89</v>
      </c>
      <c r="O27" s="152">
        <v>26793</v>
      </c>
      <c r="P27" s="152">
        <v>10152</v>
      </c>
      <c r="Q27" s="152">
        <v>26793</v>
      </c>
      <c r="R27" s="152"/>
      <c r="S27" s="153">
        <f>S24*0.0765</f>
        <v>39374.703000000001</v>
      </c>
      <c r="T27" s="153"/>
      <c r="U27" s="131" t="s">
        <v>849</v>
      </c>
      <c r="V27" s="8"/>
    </row>
    <row r="28" spans="1:22" hidden="1" x14ac:dyDescent="0.25">
      <c r="A28" s="155" t="s">
        <v>850</v>
      </c>
      <c r="B28" s="156" t="s">
        <v>851</v>
      </c>
      <c r="C28" s="151"/>
      <c r="D28" s="151"/>
      <c r="E28" s="151"/>
      <c r="F28" s="151"/>
      <c r="G28" s="151"/>
      <c r="H28" s="151"/>
      <c r="I28" s="151"/>
      <c r="J28" s="151"/>
      <c r="K28" s="151"/>
      <c r="L28" s="151"/>
      <c r="M28" s="151"/>
      <c r="N28" s="151"/>
      <c r="O28" s="152"/>
      <c r="P28" s="152">
        <v>765</v>
      </c>
      <c r="Q28" s="152"/>
      <c r="R28" s="152"/>
      <c r="S28" s="153"/>
      <c r="T28" s="153"/>
      <c r="U28" s="131"/>
      <c r="V28" s="8"/>
    </row>
    <row r="29" spans="1:22" x14ac:dyDescent="0.25">
      <c r="A29" s="150" t="s">
        <v>852</v>
      </c>
      <c r="B29" s="154"/>
      <c r="C29" s="151"/>
      <c r="D29" s="151"/>
      <c r="E29" s="151"/>
      <c r="F29" s="151"/>
      <c r="G29" s="151"/>
      <c r="H29" s="151"/>
      <c r="I29" s="151"/>
      <c r="J29" s="151"/>
      <c r="K29" s="151"/>
      <c r="L29" s="151"/>
      <c r="M29" s="151"/>
      <c r="N29" s="151"/>
      <c r="O29" s="152">
        <f>SUM(O30:O31)</f>
        <v>61867</v>
      </c>
      <c r="P29" s="152">
        <v>47451</v>
      </c>
      <c r="Q29" s="152">
        <f>SUM(Q30:Q31)</f>
        <v>61867</v>
      </c>
      <c r="R29" s="152">
        <v>45764</v>
      </c>
      <c r="S29" s="152">
        <f>48803+8626</f>
        <v>57429</v>
      </c>
      <c r="T29" s="152">
        <f>+'Draft 2021 Budget'!E118+'Draft 2021 Budget'!E119</f>
        <v>38104</v>
      </c>
      <c r="U29" s="131"/>
      <c r="V29" s="8"/>
    </row>
    <row r="30" spans="1:22" hidden="1" x14ac:dyDescent="0.25">
      <c r="A30" s="155" t="s">
        <v>147</v>
      </c>
      <c r="B30" s="156" t="s">
        <v>148</v>
      </c>
      <c r="C30" s="151">
        <v>4071</v>
      </c>
      <c r="D30" s="151">
        <v>4071</v>
      </c>
      <c r="E30" s="151">
        <v>4071</v>
      </c>
      <c r="F30" s="151">
        <v>4071</v>
      </c>
      <c r="G30" s="151">
        <v>4071</v>
      </c>
      <c r="H30" s="151">
        <v>4071</v>
      </c>
      <c r="I30" s="151">
        <v>4233.84</v>
      </c>
      <c r="J30" s="151">
        <v>4233.84</v>
      </c>
      <c r="K30" s="151">
        <v>4233.84</v>
      </c>
      <c r="L30" s="151">
        <v>4233.84</v>
      </c>
      <c r="M30" s="151">
        <v>4233.84</v>
      </c>
      <c r="N30" s="151">
        <v>4233.84</v>
      </c>
      <c r="O30" s="152">
        <v>53604</v>
      </c>
      <c r="P30" s="152">
        <v>53604</v>
      </c>
      <c r="Q30" s="152">
        <v>53604</v>
      </c>
      <c r="R30" s="152"/>
      <c r="S30" s="153">
        <f>SUM(C30:N30)</f>
        <v>49829.039999999994</v>
      </c>
      <c r="T30" s="153"/>
      <c r="U30" s="131"/>
      <c r="V30" s="8"/>
    </row>
    <row r="31" spans="1:22" hidden="1" x14ac:dyDescent="0.25">
      <c r="A31" s="155" t="s">
        <v>149</v>
      </c>
      <c r="B31" s="156" t="s">
        <v>150</v>
      </c>
      <c r="C31" s="151">
        <v>618.29999999999995</v>
      </c>
      <c r="D31" s="151">
        <v>618.29999999999995</v>
      </c>
      <c r="E31" s="151">
        <v>618.29999999999995</v>
      </c>
      <c r="F31" s="151">
        <v>618.29999999999995</v>
      </c>
      <c r="G31" s="151">
        <v>618.29999999999995</v>
      </c>
      <c r="H31" s="151">
        <v>618.29999999999995</v>
      </c>
      <c r="I31" s="151">
        <v>618.29999999999995</v>
      </c>
      <c r="J31" s="151">
        <v>618.29999999999995</v>
      </c>
      <c r="K31" s="151">
        <v>618.29999999999995</v>
      </c>
      <c r="L31" s="151">
        <v>618.29999999999995</v>
      </c>
      <c r="M31" s="151">
        <v>618.29999999999995</v>
      </c>
      <c r="N31" s="151">
        <v>618.29999999999995</v>
      </c>
      <c r="O31" s="152">
        <v>8263</v>
      </c>
      <c r="P31" s="152">
        <v>9102</v>
      </c>
      <c r="Q31" s="152">
        <v>8263</v>
      </c>
      <c r="R31" s="152"/>
      <c r="S31" s="153">
        <f>SUM(C31:N31)</f>
        <v>7419.6000000000013</v>
      </c>
      <c r="T31" s="153"/>
      <c r="U31" s="157" t="s">
        <v>853</v>
      </c>
      <c r="V31" s="8"/>
    </row>
    <row r="32" spans="1:22" x14ac:dyDescent="0.25">
      <c r="A32" s="150" t="s">
        <v>854</v>
      </c>
      <c r="B32" s="154"/>
      <c r="C32" s="151"/>
      <c r="D32" s="151"/>
      <c r="E32" s="151"/>
      <c r="F32" s="151"/>
      <c r="G32" s="151"/>
      <c r="H32" s="151"/>
      <c r="I32" s="151"/>
      <c r="J32" s="151"/>
      <c r="K32" s="151"/>
      <c r="L32" s="151"/>
      <c r="M32" s="151"/>
      <c r="N32" s="151"/>
      <c r="O32" s="152">
        <v>30294</v>
      </c>
      <c r="P32" s="152">
        <v>22461</v>
      </c>
      <c r="Q32" s="152">
        <f>SUM(Q33:Q34)</f>
        <v>30294</v>
      </c>
      <c r="R32" s="152">
        <v>12872</v>
      </c>
      <c r="S32" s="152">
        <v>18804</v>
      </c>
      <c r="T32" s="152">
        <f>+'Draft 2021 Budget'!E120</f>
        <v>37645</v>
      </c>
      <c r="U32" s="131"/>
      <c r="V32" s="8"/>
    </row>
    <row r="33" spans="1:22" hidden="1" x14ac:dyDescent="0.25">
      <c r="A33" s="158" t="s">
        <v>151</v>
      </c>
      <c r="B33" s="16" t="s">
        <v>152</v>
      </c>
      <c r="C33" s="10">
        <v>1783.01</v>
      </c>
      <c r="D33" s="10">
        <v>1783.01</v>
      </c>
      <c r="E33" s="10">
        <v>1783.01</v>
      </c>
      <c r="F33" s="10">
        <v>1783.01</v>
      </c>
      <c r="G33" s="10">
        <v>1783.01</v>
      </c>
      <c r="H33" s="10">
        <v>1783.01</v>
      </c>
      <c r="I33" s="10">
        <v>1783.01</v>
      </c>
      <c r="J33" s="10">
        <v>1783.01</v>
      </c>
      <c r="K33" s="10">
        <v>1783.01</v>
      </c>
      <c r="L33" s="10">
        <v>1783.01</v>
      </c>
      <c r="M33" s="10">
        <v>1783.01</v>
      </c>
      <c r="N33" s="10">
        <v>1783.01</v>
      </c>
      <c r="O33" s="11">
        <v>39400</v>
      </c>
      <c r="P33" s="11">
        <v>43896</v>
      </c>
      <c r="Q33" s="11">
        <v>30294</v>
      </c>
      <c r="S33" s="12">
        <v>28488</v>
      </c>
      <c r="U33" s="131" t="s">
        <v>855</v>
      </c>
      <c r="V33" s="8"/>
    </row>
    <row r="34" spans="1:22" hidden="1" x14ac:dyDescent="0.25">
      <c r="A34" s="158" t="s">
        <v>856</v>
      </c>
      <c r="B34" s="16" t="s">
        <v>857</v>
      </c>
      <c r="C34" s="10"/>
      <c r="D34" s="10"/>
      <c r="E34" s="10"/>
      <c r="F34" s="10"/>
      <c r="G34" s="10"/>
      <c r="H34" s="10"/>
      <c r="I34" s="10"/>
      <c r="J34" s="10"/>
      <c r="K34" s="10"/>
      <c r="L34" s="10"/>
      <c r="M34" s="10"/>
      <c r="N34" s="10"/>
      <c r="O34" s="11">
        <v>10000</v>
      </c>
      <c r="P34" s="11">
        <v>10000</v>
      </c>
      <c r="U34" s="131"/>
      <c r="V34" s="8"/>
    </row>
    <row r="35" spans="1:22" hidden="1" x14ac:dyDescent="0.25">
      <c r="A35" s="158"/>
      <c r="B35" s="16"/>
      <c r="C35" s="10"/>
      <c r="D35" s="10"/>
      <c r="E35" s="10"/>
      <c r="F35" s="10"/>
      <c r="G35" s="10"/>
      <c r="H35" s="10"/>
      <c r="I35" s="10"/>
      <c r="J35" s="10"/>
      <c r="K35" s="10"/>
      <c r="L35" s="10"/>
      <c r="M35" s="10"/>
      <c r="N35" s="10"/>
      <c r="U35" s="131"/>
      <c r="V35" s="8"/>
    </row>
    <row r="36" spans="1:22" x14ac:dyDescent="0.25">
      <c r="A36" s="149" t="s">
        <v>756</v>
      </c>
      <c r="B36" s="127"/>
      <c r="C36" s="127"/>
      <c r="D36" s="127"/>
      <c r="E36" s="127"/>
      <c r="F36" s="127"/>
      <c r="G36" s="127"/>
      <c r="H36" s="127"/>
      <c r="I36" s="127"/>
      <c r="J36" s="127"/>
      <c r="K36" s="127"/>
      <c r="L36" s="127"/>
      <c r="M36" s="127"/>
      <c r="N36" s="127"/>
      <c r="O36" s="159">
        <f t="shared" ref="O36:T36" si="4">O37+O42+O44+O47</f>
        <v>119013</v>
      </c>
      <c r="P36" s="159">
        <f t="shared" si="4"/>
        <v>122580</v>
      </c>
      <c r="Q36" s="159">
        <f t="shared" si="4"/>
        <v>119013</v>
      </c>
      <c r="R36" s="159">
        <f t="shared" si="4"/>
        <v>69319</v>
      </c>
      <c r="S36" s="159">
        <f t="shared" si="4"/>
        <v>89391</v>
      </c>
      <c r="T36" s="159">
        <f t="shared" si="4"/>
        <v>88056</v>
      </c>
      <c r="U36" s="131"/>
      <c r="V36" s="8"/>
    </row>
    <row r="37" spans="1:22" x14ac:dyDescent="0.25">
      <c r="A37" s="160" t="s">
        <v>858</v>
      </c>
      <c r="B37" s="154"/>
      <c r="C37" s="151"/>
      <c r="D37" s="151"/>
      <c r="E37" s="151"/>
      <c r="F37" s="151"/>
      <c r="G37" s="151"/>
      <c r="H37" s="151"/>
      <c r="I37" s="151"/>
      <c r="J37" s="151"/>
      <c r="K37" s="151"/>
      <c r="L37" s="151"/>
      <c r="M37" s="151"/>
      <c r="N37" s="151"/>
      <c r="O37" s="152">
        <f>SUM(O38:O41)</f>
        <v>54134</v>
      </c>
      <c r="P37" s="152">
        <v>52456</v>
      </c>
      <c r="Q37" s="152">
        <f>SUM(Q38:Q41)</f>
        <v>54134</v>
      </c>
      <c r="R37" s="152">
        <v>36120</v>
      </c>
      <c r="S37" s="152">
        <f>44700+2140+680</f>
        <v>47520</v>
      </c>
      <c r="T37" s="152">
        <f>+'Draft 2021 Budget'!E126+'Draft 2021 Budget'!E129</f>
        <v>46296</v>
      </c>
      <c r="U37" s="131"/>
      <c r="V37" s="8"/>
    </row>
    <row r="38" spans="1:22" hidden="1" x14ac:dyDescent="0.25">
      <c r="A38" s="155" t="s">
        <v>161</v>
      </c>
      <c r="B38" s="156" t="s">
        <v>162</v>
      </c>
      <c r="C38" s="151">
        <v>4100</v>
      </c>
      <c r="D38" s="151">
        <v>4100</v>
      </c>
      <c r="E38" s="151">
        <v>4100</v>
      </c>
      <c r="F38" s="151">
        <v>4100</v>
      </c>
      <c r="G38" s="151">
        <v>4100</v>
      </c>
      <c r="H38" s="151">
        <v>4100</v>
      </c>
      <c r="I38" s="151">
        <v>4100</v>
      </c>
      <c r="J38" s="151">
        <v>4100</v>
      </c>
      <c r="K38" s="151">
        <v>4100</v>
      </c>
      <c r="L38" s="151">
        <v>4100</v>
      </c>
      <c r="M38" s="151">
        <v>4100</v>
      </c>
      <c r="N38" s="151">
        <v>4100</v>
      </c>
      <c r="O38" s="152">
        <v>49200</v>
      </c>
      <c r="P38" s="152">
        <v>49938</v>
      </c>
      <c r="Q38" s="152">
        <v>49200</v>
      </c>
      <c r="R38" s="152"/>
      <c r="S38" s="153">
        <f>SUM(C38:N38)</f>
        <v>49200</v>
      </c>
      <c r="T38" s="153"/>
      <c r="U38" s="161" t="s">
        <v>859</v>
      </c>
      <c r="V38" s="117"/>
    </row>
    <row r="39" spans="1:22" hidden="1" x14ac:dyDescent="0.25">
      <c r="A39" s="155" t="s">
        <v>860</v>
      </c>
      <c r="B39" s="156" t="s">
        <v>861</v>
      </c>
      <c r="C39" s="151">
        <v>0</v>
      </c>
      <c r="D39" s="151">
        <v>0</v>
      </c>
      <c r="E39" s="151">
        <v>0</v>
      </c>
      <c r="F39" s="151">
        <v>0</v>
      </c>
      <c r="G39" s="151">
        <v>0</v>
      </c>
      <c r="H39" s="151">
        <v>0</v>
      </c>
      <c r="I39" s="151">
        <v>0</v>
      </c>
      <c r="J39" s="151">
        <v>0</v>
      </c>
      <c r="K39" s="151">
        <v>0</v>
      </c>
      <c r="L39" s="151">
        <v>0</v>
      </c>
      <c r="M39" s="151">
        <v>0</v>
      </c>
      <c r="N39" s="151">
        <v>0</v>
      </c>
      <c r="O39" s="152">
        <v>1294</v>
      </c>
      <c r="P39" s="152">
        <v>1976</v>
      </c>
      <c r="Q39" s="152">
        <v>1294</v>
      </c>
      <c r="R39" s="152"/>
      <c r="S39" s="153">
        <f>SUM(C39:N39)</f>
        <v>0</v>
      </c>
      <c r="T39" s="153"/>
      <c r="U39" s="131"/>
    </row>
    <row r="40" spans="1:22" hidden="1" x14ac:dyDescent="0.25">
      <c r="A40" s="155" t="s">
        <v>163</v>
      </c>
      <c r="B40" s="156" t="s">
        <v>164</v>
      </c>
      <c r="C40" s="151">
        <v>226.6</v>
      </c>
      <c r="D40" s="151">
        <v>226.6</v>
      </c>
      <c r="E40" s="151">
        <v>226.6</v>
      </c>
      <c r="F40" s="151">
        <v>226.6</v>
      </c>
      <c r="G40" s="151">
        <v>226.6</v>
      </c>
      <c r="H40" s="151">
        <v>226.6</v>
      </c>
      <c r="I40" s="151">
        <v>226.6</v>
      </c>
      <c r="J40" s="151">
        <v>226.6</v>
      </c>
      <c r="K40" s="151">
        <v>226.6</v>
      </c>
      <c r="L40" s="151">
        <v>226.6</v>
      </c>
      <c r="M40" s="151">
        <v>226.6</v>
      </c>
      <c r="N40" s="151">
        <v>226.6</v>
      </c>
      <c r="O40" s="152">
        <v>2640</v>
      </c>
      <c r="P40" s="152">
        <v>2892</v>
      </c>
      <c r="Q40" s="152">
        <v>2640</v>
      </c>
      <c r="R40" s="152"/>
      <c r="S40" s="153">
        <v>1320</v>
      </c>
      <c r="T40" s="153"/>
      <c r="U40" s="131" t="s">
        <v>862</v>
      </c>
      <c r="V40" s="117"/>
    </row>
    <row r="41" spans="1:22" hidden="1" x14ac:dyDescent="0.25">
      <c r="A41" s="155" t="s">
        <v>167</v>
      </c>
      <c r="B41" s="156" t="s">
        <v>168</v>
      </c>
      <c r="C41" s="151">
        <v>145</v>
      </c>
      <c r="D41" s="151">
        <v>275</v>
      </c>
      <c r="E41" s="151">
        <v>55</v>
      </c>
      <c r="F41" s="151">
        <v>55</v>
      </c>
      <c r="G41" s="151">
        <v>55</v>
      </c>
      <c r="H41" s="151">
        <v>390</v>
      </c>
      <c r="I41" s="151">
        <v>55</v>
      </c>
      <c r="J41" s="151">
        <v>925</v>
      </c>
      <c r="K41" s="151">
        <v>55</v>
      </c>
      <c r="L41" s="151">
        <v>55</v>
      </c>
      <c r="M41" s="151">
        <v>55</v>
      </c>
      <c r="N41" s="151">
        <v>200</v>
      </c>
      <c r="O41" s="152">
        <v>1000</v>
      </c>
      <c r="P41" s="152">
        <v>1474</v>
      </c>
      <c r="Q41" s="152">
        <v>1000</v>
      </c>
      <c r="R41" s="152"/>
      <c r="S41" s="153">
        <v>2000</v>
      </c>
      <c r="T41" s="153"/>
      <c r="U41" s="131"/>
      <c r="V41" s="117"/>
    </row>
    <row r="42" spans="1:22" x14ac:dyDescent="0.25">
      <c r="A42" s="160" t="s">
        <v>863</v>
      </c>
      <c r="B42" s="154"/>
      <c r="C42" s="151"/>
      <c r="D42" s="151"/>
      <c r="E42" s="151"/>
      <c r="F42" s="151"/>
      <c r="G42" s="151"/>
      <c r="H42" s="151"/>
      <c r="I42" s="151"/>
      <c r="J42" s="151"/>
      <c r="K42" s="151"/>
      <c r="L42" s="151"/>
      <c r="M42" s="151"/>
      <c r="N42" s="151"/>
      <c r="O42" s="152">
        <f>O43</f>
        <v>18969</v>
      </c>
      <c r="P42" s="152">
        <v>10383</v>
      </c>
      <c r="Q42" s="152">
        <f>Q43</f>
        <v>18969</v>
      </c>
      <c r="R42" s="152">
        <v>8807</v>
      </c>
      <c r="S42" s="152">
        <v>11307</v>
      </c>
      <c r="T42" s="152">
        <f>+'Draft 2021 Budget'!E130</f>
        <v>8000</v>
      </c>
      <c r="U42" s="131"/>
      <c r="V42" s="8"/>
    </row>
    <row r="43" spans="1:22" hidden="1" x14ac:dyDescent="0.25">
      <c r="A43" s="155" t="s">
        <v>169</v>
      </c>
      <c r="B43" s="156" t="s">
        <v>170</v>
      </c>
      <c r="C43" s="151">
        <v>5222.6000000000004</v>
      </c>
      <c r="D43" s="151">
        <v>5222.6000000000004</v>
      </c>
      <c r="E43" s="151">
        <v>1065.95</v>
      </c>
      <c r="F43" s="151">
        <v>1779.27</v>
      </c>
      <c r="G43" s="151">
        <v>1899.29</v>
      </c>
      <c r="H43" s="151">
        <v>1779.29</v>
      </c>
      <c r="I43" s="151">
        <v>0</v>
      </c>
      <c r="J43" s="151">
        <v>0</v>
      </c>
      <c r="K43" s="151">
        <v>0</v>
      </c>
      <c r="L43" s="151">
        <v>0</v>
      </c>
      <c r="M43" s="151">
        <v>0</v>
      </c>
      <c r="N43" s="151">
        <v>2000</v>
      </c>
      <c r="O43" s="152">
        <v>18969</v>
      </c>
      <c r="P43" s="152">
        <v>15573</v>
      </c>
      <c r="Q43" s="152">
        <v>18969</v>
      </c>
      <c r="R43" s="152"/>
      <c r="S43" s="153">
        <v>18100</v>
      </c>
      <c r="T43" s="153"/>
      <c r="U43" s="157" t="s">
        <v>864</v>
      </c>
      <c r="V43" s="117"/>
    </row>
    <row r="44" spans="1:22" x14ac:dyDescent="0.25">
      <c r="A44" s="160" t="s">
        <v>865</v>
      </c>
      <c r="B44" s="154"/>
      <c r="C44" s="151"/>
      <c r="D44" s="151"/>
      <c r="E44" s="151"/>
      <c r="F44" s="151"/>
      <c r="G44" s="151"/>
      <c r="H44" s="151"/>
      <c r="I44" s="151"/>
      <c r="J44" s="151"/>
      <c r="K44" s="151"/>
      <c r="L44" s="151"/>
      <c r="M44" s="151"/>
      <c r="N44" s="151"/>
      <c r="O44" s="152">
        <f>SUM(O45:O46)</f>
        <v>40588</v>
      </c>
      <c r="P44" s="152">
        <v>54252</v>
      </c>
      <c r="Q44" s="152">
        <f>SUM(Q45:Q46)</f>
        <v>40588</v>
      </c>
      <c r="R44" s="152">
        <v>22298</v>
      </c>
      <c r="S44" s="152">
        <v>28470</v>
      </c>
      <c r="T44" s="152">
        <f>+'Draft 2021 Budget'!E137+'Draft 2021 Budget'!E142+'Draft 2021 Budget'!E136</f>
        <v>33760</v>
      </c>
      <c r="U44" s="131"/>
      <c r="V44" s="8"/>
    </row>
    <row r="45" spans="1:22" hidden="1" x14ac:dyDescent="0.25">
      <c r="A45" s="155" t="s">
        <v>159</v>
      </c>
      <c r="B45" s="156" t="s">
        <v>160</v>
      </c>
      <c r="C45" s="151">
        <v>273.58</v>
      </c>
      <c r="D45" s="151">
        <v>250</v>
      </c>
      <c r="E45" s="151">
        <v>270</v>
      </c>
      <c r="F45" s="151">
        <v>210</v>
      </c>
      <c r="G45" s="151">
        <v>210</v>
      </c>
      <c r="H45" s="151">
        <v>270</v>
      </c>
      <c r="I45" s="151">
        <v>270</v>
      </c>
      <c r="J45" s="151">
        <v>270</v>
      </c>
      <c r="K45" s="151">
        <v>275</v>
      </c>
      <c r="L45" s="151">
        <v>340</v>
      </c>
      <c r="M45" s="151">
        <v>310</v>
      </c>
      <c r="N45" s="151">
        <v>310</v>
      </c>
      <c r="O45" s="152">
        <v>3117</v>
      </c>
      <c r="P45" s="152">
        <v>3314</v>
      </c>
      <c r="Q45" s="152">
        <v>3117</v>
      </c>
      <c r="R45" s="152"/>
      <c r="S45" s="153">
        <v>5280</v>
      </c>
      <c r="T45" s="153"/>
      <c r="U45" s="131" t="s">
        <v>866</v>
      </c>
    </row>
    <row r="46" spans="1:22" ht="28.5" hidden="1" x14ac:dyDescent="0.25">
      <c r="A46" s="155" t="s">
        <v>180</v>
      </c>
      <c r="B46" s="156" t="s">
        <v>181</v>
      </c>
      <c r="C46" s="151">
        <v>2756</v>
      </c>
      <c r="D46" s="151">
        <v>2756</v>
      </c>
      <c r="E46" s="151">
        <v>3506</v>
      </c>
      <c r="F46" s="151">
        <v>2756</v>
      </c>
      <c r="G46" s="151">
        <v>2756</v>
      </c>
      <c r="H46" s="151">
        <v>2756</v>
      </c>
      <c r="I46" s="151">
        <v>3506</v>
      </c>
      <c r="J46" s="151">
        <v>2756</v>
      </c>
      <c r="K46" s="151">
        <v>2756</v>
      </c>
      <c r="L46" s="151">
        <v>2756</v>
      </c>
      <c r="M46" s="151">
        <v>2756</v>
      </c>
      <c r="N46" s="151">
        <v>2756</v>
      </c>
      <c r="O46" s="152">
        <v>37471</v>
      </c>
      <c r="P46" s="152">
        <v>46036</v>
      </c>
      <c r="Q46" s="152">
        <v>37471</v>
      </c>
      <c r="R46" s="152"/>
      <c r="S46" s="153">
        <v>36572</v>
      </c>
      <c r="T46" s="153"/>
      <c r="U46" s="131" t="s">
        <v>867</v>
      </c>
      <c r="V46" s="117"/>
    </row>
    <row r="47" spans="1:22" x14ac:dyDescent="0.25">
      <c r="A47" s="444" t="s">
        <v>868</v>
      </c>
      <c r="B47" s="445"/>
      <c r="C47" s="151"/>
      <c r="D47" s="151"/>
      <c r="E47" s="151"/>
      <c r="F47" s="151"/>
      <c r="G47" s="151"/>
      <c r="H47" s="151"/>
      <c r="I47" s="151"/>
      <c r="J47" s="151"/>
      <c r="K47" s="151"/>
      <c r="L47" s="151"/>
      <c r="M47" s="151"/>
      <c r="N47" s="151"/>
      <c r="O47" s="152">
        <v>5322</v>
      </c>
      <c r="P47" s="152">
        <v>5489</v>
      </c>
      <c r="Q47" s="152">
        <f>+Q48</f>
        <v>5322</v>
      </c>
      <c r="R47" s="152">
        <v>2094</v>
      </c>
      <c r="S47" s="152">
        <v>2094</v>
      </c>
      <c r="T47" s="152">
        <f>+'Draft 2021 Budget'!E128</f>
        <v>0</v>
      </c>
      <c r="U47" s="131"/>
      <c r="V47" s="8"/>
    </row>
    <row r="48" spans="1:22" hidden="1" x14ac:dyDescent="0.25">
      <c r="A48" s="158" t="s">
        <v>165</v>
      </c>
      <c r="B48" s="16" t="s">
        <v>166</v>
      </c>
      <c r="C48" s="10">
        <v>880.62</v>
      </c>
      <c r="D48" s="10">
        <v>544.77</v>
      </c>
      <c r="E48" s="10">
        <v>327.85</v>
      </c>
      <c r="F48" s="10">
        <v>364.73</v>
      </c>
      <c r="G48" s="10">
        <v>457.7</v>
      </c>
      <c r="H48" s="10">
        <v>457.7</v>
      </c>
      <c r="I48" s="10">
        <v>548.29</v>
      </c>
      <c r="J48" s="10">
        <v>663.05</v>
      </c>
      <c r="K48" s="10">
        <v>575</v>
      </c>
      <c r="L48" s="10">
        <v>575</v>
      </c>
      <c r="M48" s="10">
        <v>575</v>
      </c>
      <c r="N48" s="10">
        <v>575</v>
      </c>
      <c r="O48" s="11">
        <v>5275</v>
      </c>
      <c r="P48" s="11">
        <v>6278</v>
      </c>
      <c r="Q48" s="11">
        <v>5322</v>
      </c>
      <c r="S48" s="12">
        <v>6500</v>
      </c>
      <c r="U48" s="161" t="s">
        <v>869</v>
      </c>
      <c r="V48" s="117"/>
    </row>
    <row r="49" spans="1:22" x14ac:dyDescent="0.25">
      <c r="A49" s="162" t="s">
        <v>770</v>
      </c>
      <c r="B49" s="163"/>
      <c r="C49" s="164"/>
      <c r="D49" s="164"/>
      <c r="E49" s="164"/>
      <c r="F49" s="164"/>
      <c r="G49" s="164"/>
      <c r="H49" s="164"/>
      <c r="I49" s="164"/>
      <c r="J49" s="164"/>
      <c r="K49" s="164"/>
      <c r="L49" s="164"/>
      <c r="M49" s="164"/>
      <c r="N49" s="164"/>
      <c r="O49" s="129">
        <f t="shared" ref="O49:T49" si="5">O50+O214+O252+O277</f>
        <v>647886</v>
      </c>
      <c r="P49" s="129">
        <f t="shared" si="5"/>
        <v>610564</v>
      </c>
      <c r="Q49" s="129">
        <f t="shared" si="5"/>
        <v>774232</v>
      </c>
      <c r="R49" s="129" t="e">
        <f t="shared" si="5"/>
        <v>#REF!</v>
      </c>
      <c r="S49" s="129">
        <f t="shared" si="5"/>
        <v>825614</v>
      </c>
      <c r="T49" s="129">
        <f t="shared" si="5"/>
        <v>859268</v>
      </c>
      <c r="U49" s="131"/>
      <c r="V49" s="8"/>
    </row>
    <row r="50" spans="1:22" x14ac:dyDescent="0.25">
      <c r="A50" s="165" t="s">
        <v>843</v>
      </c>
      <c r="B50" s="166"/>
      <c r="C50" s="167"/>
      <c r="D50" s="167"/>
      <c r="E50" s="167"/>
      <c r="F50" s="167"/>
      <c r="G50" s="167"/>
      <c r="H50" s="167"/>
      <c r="I50" s="167"/>
      <c r="J50" s="167"/>
      <c r="K50" s="167"/>
      <c r="L50" s="167"/>
      <c r="M50" s="167"/>
      <c r="N50" s="167"/>
      <c r="O50" s="153">
        <f>1317043-1034130</f>
        <v>282913</v>
      </c>
      <c r="P50" s="153">
        <v>332078</v>
      </c>
      <c r="Q50" s="153">
        <f>1443389-1034130</f>
        <v>409259</v>
      </c>
      <c r="R50" s="153">
        <f>1154405-894157</f>
        <v>260248</v>
      </c>
      <c r="S50" s="153">
        <f>1409712-1100089</f>
        <v>309623</v>
      </c>
      <c r="T50" s="153">
        <f>1513849-1145882+1000</f>
        <v>368967</v>
      </c>
      <c r="U50" s="131"/>
      <c r="V50" s="8"/>
    </row>
    <row r="51" spans="1:22" hidden="1" x14ac:dyDescent="0.25">
      <c r="A51" s="168" t="s">
        <v>191</v>
      </c>
      <c r="B51" s="156"/>
      <c r="C51" s="169"/>
      <c r="D51" s="169"/>
      <c r="E51" s="169"/>
      <c r="F51" s="169"/>
      <c r="G51" s="169"/>
      <c r="H51" s="169"/>
      <c r="I51" s="169"/>
      <c r="J51" s="169"/>
      <c r="K51" s="169"/>
      <c r="L51" s="169"/>
      <c r="M51" s="169"/>
      <c r="N51" s="169"/>
      <c r="O51" s="170"/>
      <c r="P51" s="170"/>
      <c r="Q51" s="170"/>
      <c r="R51" s="170"/>
      <c r="S51" s="171"/>
      <c r="T51" s="171"/>
      <c r="U51" s="131"/>
      <c r="V51" s="117"/>
    </row>
    <row r="52" spans="1:22" hidden="1" x14ac:dyDescent="0.25">
      <c r="A52" s="155" t="s">
        <v>192</v>
      </c>
      <c r="B52" s="156" t="s">
        <v>118</v>
      </c>
      <c r="C52" s="151">
        <v>0</v>
      </c>
      <c r="D52" s="151">
        <v>150</v>
      </c>
      <c r="E52" s="151">
        <v>0</v>
      </c>
      <c r="F52" s="151">
        <v>0</v>
      </c>
      <c r="G52" s="151">
        <v>0</v>
      </c>
      <c r="H52" s="151">
        <v>0</v>
      </c>
      <c r="I52" s="151">
        <v>0</v>
      </c>
      <c r="J52" s="151">
        <v>0</v>
      </c>
      <c r="K52" s="151">
        <v>0</v>
      </c>
      <c r="L52" s="151">
        <v>0</v>
      </c>
      <c r="M52" s="151">
        <v>0</v>
      </c>
      <c r="N52" s="151">
        <v>0</v>
      </c>
      <c r="O52" s="152">
        <v>0</v>
      </c>
      <c r="P52" s="152">
        <v>200</v>
      </c>
      <c r="Q52" s="152">
        <v>140</v>
      </c>
      <c r="R52" s="152"/>
      <c r="S52" s="153">
        <v>0</v>
      </c>
      <c r="T52" s="153"/>
      <c r="U52" s="131" t="s">
        <v>870</v>
      </c>
      <c r="V52" s="117"/>
    </row>
    <row r="53" spans="1:22" hidden="1" x14ac:dyDescent="0.25">
      <c r="A53" s="155" t="s">
        <v>193</v>
      </c>
      <c r="B53" s="156" t="s">
        <v>120</v>
      </c>
      <c r="C53" s="151">
        <v>0</v>
      </c>
      <c r="D53" s="151">
        <v>0</v>
      </c>
      <c r="E53" s="151">
        <v>300</v>
      </c>
      <c r="F53" s="151">
        <v>0</v>
      </c>
      <c r="G53" s="151">
        <v>0</v>
      </c>
      <c r="H53" s="151">
        <v>0</v>
      </c>
      <c r="I53" s="151">
        <v>0</v>
      </c>
      <c r="J53" s="151">
        <v>0</v>
      </c>
      <c r="K53" s="151">
        <v>0</v>
      </c>
      <c r="L53" s="151">
        <v>0</v>
      </c>
      <c r="M53" s="151">
        <v>50</v>
      </c>
      <c r="N53" s="151">
        <v>0</v>
      </c>
      <c r="O53" s="152">
        <v>283.83999999999997</v>
      </c>
      <c r="P53" s="152">
        <v>350</v>
      </c>
      <c r="Q53" s="152">
        <v>350</v>
      </c>
      <c r="R53" s="152"/>
      <c r="S53" s="153">
        <v>0</v>
      </c>
      <c r="T53" s="153"/>
      <c r="U53" s="131" t="s">
        <v>871</v>
      </c>
      <c r="V53" s="117"/>
    </row>
    <row r="54" spans="1:22" hidden="1" x14ac:dyDescent="0.25">
      <c r="A54" s="155" t="s">
        <v>194</v>
      </c>
      <c r="B54" s="156" t="s">
        <v>122</v>
      </c>
      <c r="C54" s="151">
        <v>0</v>
      </c>
      <c r="D54" s="151">
        <v>0</v>
      </c>
      <c r="E54" s="151">
        <v>0</v>
      </c>
      <c r="F54" s="151">
        <v>10</v>
      </c>
      <c r="G54" s="151">
        <v>10</v>
      </c>
      <c r="H54" s="151">
        <v>10</v>
      </c>
      <c r="I54" s="151">
        <v>10</v>
      </c>
      <c r="J54" s="151">
        <v>10</v>
      </c>
      <c r="K54" s="151">
        <v>10</v>
      </c>
      <c r="L54" s="151">
        <v>10</v>
      </c>
      <c r="M54" s="151">
        <v>10</v>
      </c>
      <c r="N54" s="151">
        <v>10</v>
      </c>
      <c r="O54" s="152">
        <v>0</v>
      </c>
      <c r="P54" s="152">
        <v>72</v>
      </c>
      <c r="Q54" s="152">
        <v>72</v>
      </c>
      <c r="R54" s="152"/>
      <c r="S54" s="153">
        <v>0</v>
      </c>
      <c r="T54" s="153"/>
      <c r="U54" s="131"/>
      <c r="V54" s="117"/>
    </row>
    <row r="55" spans="1:22" hidden="1" x14ac:dyDescent="0.25">
      <c r="A55" s="155" t="s">
        <v>525</v>
      </c>
      <c r="B55" s="156" t="s">
        <v>124</v>
      </c>
      <c r="C55" s="151"/>
      <c r="D55" s="151"/>
      <c r="E55" s="151"/>
      <c r="F55" s="151"/>
      <c r="G55" s="151"/>
      <c r="H55" s="151"/>
      <c r="I55" s="151"/>
      <c r="J55" s="151"/>
      <c r="K55" s="151"/>
      <c r="L55" s="151"/>
      <c r="M55" s="151"/>
      <c r="N55" s="151"/>
      <c r="O55" s="152">
        <v>51</v>
      </c>
      <c r="P55" s="152">
        <v>84</v>
      </c>
      <c r="Q55" s="152">
        <v>84</v>
      </c>
      <c r="R55" s="152"/>
      <c r="S55" s="153"/>
      <c r="T55" s="153"/>
      <c r="U55" s="131"/>
      <c r="V55" s="117"/>
    </row>
    <row r="56" spans="1:22" hidden="1" x14ac:dyDescent="0.25">
      <c r="A56" s="155" t="s">
        <v>196</v>
      </c>
      <c r="B56" s="156" t="s">
        <v>197</v>
      </c>
      <c r="C56" s="151">
        <v>0</v>
      </c>
      <c r="D56" s="151">
        <v>0</v>
      </c>
      <c r="E56" s="151">
        <v>0</v>
      </c>
      <c r="F56" s="151">
        <v>0</v>
      </c>
      <c r="G56" s="151">
        <v>0</v>
      </c>
      <c r="H56" s="151">
        <v>0</v>
      </c>
      <c r="I56" s="151">
        <v>0</v>
      </c>
      <c r="J56" s="151">
        <v>0</v>
      </c>
      <c r="K56" s="151">
        <v>0</v>
      </c>
      <c r="L56" s="151">
        <v>0</v>
      </c>
      <c r="M56" s="151">
        <v>3025</v>
      </c>
      <c r="N56" s="151">
        <v>0</v>
      </c>
      <c r="O56" s="152">
        <f>5725+19.67</f>
        <v>5744.67</v>
      </c>
      <c r="P56" s="152">
        <v>2750</v>
      </c>
      <c r="Q56" s="152">
        <v>2750</v>
      </c>
      <c r="R56" s="152"/>
      <c r="S56" s="153">
        <f>SUM(C56:N56)</f>
        <v>3025</v>
      </c>
      <c r="T56" s="153"/>
      <c r="U56" s="131"/>
      <c r="V56" s="117"/>
    </row>
    <row r="57" spans="1:22" hidden="1" x14ac:dyDescent="0.25">
      <c r="A57" s="155" t="s">
        <v>198</v>
      </c>
      <c r="B57" s="156" t="s">
        <v>199</v>
      </c>
      <c r="C57" s="151">
        <v>0</v>
      </c>
      <c r="D57" s="151">
        <v>0</v>
      </c>
      <c r="E57" s="151">
        <v>0</v>
      </c>
      <c r="F57" s="151">
        <v>0</v>
      </c>
      <c r="G57" s="151">
        <v>0</v>
      </c>
      <c r="H57" s="151">
        <v>0</v>
      </c>
      <c r="I57" s="151">
        <v>0</v>
      </c>
      <c r="J57" s="151">
        <v>0</v>
      </c>
      <c r="K57" s="151">
        <v>0</v>
      </c>
      <c r="L57" s="151">
        <v>0</v>
      </c>
      <c r="M57" s="151">
        <v>0</v>
      </c>
      <c r="N57" s="151">
        <v>0</v>
      </c>
      <c r="O57" s="152">
        <v>0</v>
      </c>
      <c r="P57" s="152">
        <v>0</v>
      </c>
      <c r="Q57" s="152">
        <v>0</v>
      </c>
      <c r="R57" s="152"/>
      <c r="S57" s="153">
        <f>SUM(C57:N57)</f>
        <v>0</v>
      </c>
      <c r="T57" s="153"/>
      <c r="U57" s="131"/>
      <c r="V57" s="117"/>
    </row>
    <row r="58" spans="1:22" hidden="1" x14ac:dyDescent="0.25">
      <c r="A58" s="155" t="s">
        <v>200</v>
      </c>
      <c r="B58" s="156" t="s">
        <v>201</v>
      </c>
      <c r="C58" s="151">
        <v>0</v>
      </c>
      <c r="D58" s="151">
        <v>0</v>
      </c>
      <c r="E58" s="151">
        <v>0</v>
      </c>
      <c r="F58" s="151">
        <v>0</v>
      </c>
      <c r="G58" s="151">
        <v>0</v>
      </c>
      <c r="H58" s="151">
        <v>0</v>
      </c>
      <c r="I58" s="151">
        <v>0</v>
      </c>
      <c r="J58" s="151">
        <v>0</v>
      </c>
      <c r="K58" s="151">
        <v>0</v>
      </c>
      <c r="L58" s="151">
        <v>0</v>
      </c>
      <c r="M58" s="151">
        <v>0</v>
      </c>
      <c r="N58" s="151">
        <v>0</v>
      </c>
      <c r="O58" s="152">
        <v>0</v>
      </c>
      <c r="P58" s="152">
        <v>0</v>
      </c>
      <c r="Q58" s="152">
        <v>0</v>
      </c>
      <c r="R58" s="152"/>
      <c r="S58" s="153">
        <f>SUM(C58:N58)</f>
        <v>0</v>
      </c>
      <c r="T58" s="153"/>
      <c r="U58" s="131"/>
      <c r="V58" s="117"/>
    </row>
    <row r="59" spans="1:22" hidden="1" x14ac:dyDescent="0.25">
      <c r="A59" s="155" t="s">
        <v>202</v>
      </c>
      <c r="B59" s="156" t="s">
        <v>203</v>
      </c>
      <c r="C59" s="151">
        <v>0</v>
      </c>
      <c r="D59" s="151">
        <v>0</v>
      </c>
      <c r="E59" s="151">
        <v>0</v>
      </c>
      <c r="F59" s="151">
        <v>50</v>
      </c>
      <c r="G59" s="151">
        <v>0</v>
      </c>
      <c r="H59" s="151">
        <v>0</v>
      </c>
      <c r="I59" s="151">
        <v>0</v>
      </c>
      <c r="J59" s="151">
        <v>0</v>
      </c>
      <c r="K59" s="151">
        <v>0</v>
      </c>
      <c r="L59" s="151">
        <v>0</v>
      </c>
      <c r="M59" s="151">
        <v>0</v>
      </c>
      <c r="N59" s="151">
        <v>0</v>
      </c>
      <c r="O59" s="152">
        <v>0</v>
      </c>
      <c r="P59" s="152">
        <v>0</v>
      </c>
      <c r="Q59" s="152">
        <v>0</v>
      </c>
      <c r="R59" s="152"/>
      <c r="S59" s="153"/>
      <c r="T59" s="153"/>
      <c r="U59" s="131"/>
      <c r="V59" s="117"/>
    </row>
    <row r="60" spans="1:22" hidden="1" x14ac:dyDescent="0.25">
      <c r="A60" s="155" t="s">
        <v>204</v>
      </c>
      <c r="B60" s="156" t="s">
        <v>205</v>
      </c>
      <c r="C60" s="151">
        <v>0</v>
      </c>
      <c r="D60" s="151">
        <v>0</v>
      </c>
      <c r="E60" s="151">
        <v>5825</v>
      </c>
      <c r="F60" s="151">
        <v>0</v>
      </c>
      <c r="G60" s="151">
        <v>0</v>
      </c>
      <c r="H60" s="151">
        <v>0</v>
      </c>
      <c r="I60" s="151">
        <v>0</v>
      </c>
      <c r="J60" s="151">
        <v>0</v>
      </c>
      <c r="K60" s="151">
        <v>0</v>
      </c>
      <c r="L60" s="151">
        <v>0</v>
      </c>
      <c r="M60" s="151">
        <v>0</v>
      </c>
      <c r="N60" s="151">
        <v>0</v>
      </c>
      <c r="O60" s="152">
        <v>4334</v>
      </c>
      <c r="P60" s="152">
        <v>1100</v>
      </c>
      <c r="Q60" s="152">
        <v>1113</v>
      </c>
      <c r="R60" s="152"/>
      <c r="S60" s="153">
        <f>SUM(C60:N60)</f>
        <v>5825</v>
      </c>
      <c r="T60" s="153"/>
      <c r="U60" s="131" t="s">
        <v>872</v>
      </c>
      <c r="V60" s="117"/>
    </row>
    <row r="61" spans="1:22" hidden="1" x14ac:dyDescent="0.25">
      <c r="A61" s="155" t="s">
        <v>206</v>
      </c>
      <c r="B61" s="156" t="s">
        <v>134</v>
      </c>
      <c r="C61" s="151">
        <v>0</v>
      </c>
      <c r="D61" s="151">
        <v>0</v>
      </c>
      <c r="E61" s="151">
        <v>2000</v>
      </c>
      <c r="F61" s="151">
        <v>0</v>
      </c>
      <c r="G61" s="151">
        <v>0</v>
      </c>
      <c r="H61" s="151">
        <v>0</v>
      </c>
      <c r="I61" s="151">
        <v>0</v>
      </c>
      <c r="J61" s="151">
        <v>0</v>
      </c>
      <c r="K61" s="151">
        <v>0</v>
      </c>
      <c r="L61" s="151">
        <v>0</v>
      </c>
      <c r="M61" s="151">
        <v>0</v>
      </c>
      <c r="N61" s="151">
        <v>0</v>
      </c>
      <c r="O61" s="152">
        <v>275</v>
      </c>
      <c r="P61" s="152">
        <v>0</v>
      </c>
      <c r="Q61" s="152">
        <v>0</v>
      </c>
      <c r="R61" s="152"/>
      <c r="S61" s="153">
        <f>SUM(C61:N61)</f>
        <v>2000</v>
      </c>
      <c r="T61" s="153"/>
      <c r="U61" s="172"/>
    </row>
    <row r="62" spans="1:22" hidden="1" x14ac:dyDescent="0.25">
      <c r="A62" s="168" t="s">
        <v>409</v>
      </c>
      <c r="B62" s="173"/>
      <c r="C62" s="169"/>
      <c r="D62" s="169"/>
      <c r="E62" s="169"/>
      <c r="F62" s="169"/>
      <c r="G62" s="169"/>
      <c r="H62" s="169"/>
      <c r="I62" s="169"/>
      <c r="J62" s="169"/>
      <c r="K62" s="169"/>
      <c r="L62" s="169"/>
      <c r="M62" s="169"/>
      <c r="N62" s="169"/>
      <c r="O62" s="174"/>
      <c r="P62" s="174"/>
      <c r="Q62" s="174"/>
      <c r="R62" s="174"/>
      <c r="S62" s="175"/>
      <c r="T62" s="175"/>
      <c r="U62" s="172"/>
    </row>
    <row r="63" spans="1:22" hidden="1" x14ac:dyDescent="0.25">
      <c r="A63" s="165" t="s">
        <v>410</v>
      </c>
      <c r="B63" s="156" t="s">
        <v>118</v>
      </c>
      <c r="C63" s="176">
        <v>0</v>
      </c>
      <c r="D63" s="176">
        <v>0</v>
      </c>
      <c r="E63" s="176">
        <v>0</v>
      </c>
      <c r="F63" s="176">
        <v>0</v>
      </c>
      <c r="G63" s="176">
        <v>0</v>
      </c>
      <c r="H63" s="176">
        <v>0</v>
      </c>
      <c r="I63" s="176">
        <v>0</v>
      </c>
      <c r="J63" s="176">
        <v>0</v>
      </c>
      <c r="K63" s="176">
        <v>0</v>
      </c>
      <c r="L63" s="176">
        <v>0</v>
      </c>
      <c r="M63" s="176">
        <v>0</v>
      </c>
      <c r="N63" s="176">
        <v>0</v>
      </c>
      <c r="O63" s="152"/>
      <c r="P63" s="152">
        <v>0</v>
      </c>
      <c r="Q63" s="152">
        <v>0</v>
      </c>
      <c r="R63" s="152"/>
      <c r="S63" s="153">
        <f>SUM(C63:N63)</f>
        <v>0</v>
      </c>
      <c r="T63" s="153"/>
      <c r="U63" s="131"/>
    </row>
    <row r="64" spans="1:22" hidden="1" x14ac:dyDescent="0.25">
      <c r="A64" s="155" t="s">
        <v>411</v>
      </c>
      <c r="B64" s="156" t="s">
        <v>120</v>
      </c>
      <c r="C64" s="176">
        <v>0</v>
      </c>
      <c r="D64" s="176">
        <v>0</v>
      </c>
      <c r="E64" s="176">
        <v>0</v>
      </c>
      <c r="F64" s="176">
        <v>0</v>
      </c>
      <c r="G64" s="176">
        <v>0</v>
      </c>
      <c r="H64" s="176">
        <v>0</v>
      </c>
      <c r="I64" s="176">
        <v>0</v>
      </c>
      <c r="J64" s="176">
        <v>0</v>
      </c>
      <c r="K64" s="176">
        <v>0</v>
      </c>
      <c r="L64" s="176">
        <v>0</v>
      </c>
      <c r="M64" s="176">
        <v>0</v>
      </c>
      <c r="N64" s="176">
        <v>0</v>
      </c>
      <c r="O64" s="152">
        <v>10898.27</v>
      </c>
      <c r="P64" s="152">
        <v>18000</v>
      </c>
      <c r="Q64" s="152">
        <v>18000</v>
      </c>
      <c r="R64" s="152"/>
      <c r="S64" s="153">
        <v>15750</v>
      </c>
      <c r="T64" s="153"/>
      <c r="U64" s="131" t="s">
        <v>873</v>
      </c>
    </row>
    <row r="65" spans="1:25" hidden="1" x14ac:dyDescent="0.25">
      <c r="A65" s="155" t="s">
        <v>412</v>
      </c>
      <c r="B65" s="156" t="s">
        <v>413</v>
      </c>
      <c r="C65" s="176">
        <v>0</v>
      </c>
      <c r="D65" s="176">
        <v>0</v>
      </c>
      <c r="E65" s="176">
        <v>0</v>
      </c>
      <c r="F65" s="176">
        <v>0</v>
      </c>
      <c r="G65" s="176">
        <v>0</v>
      </c>
      <c r="H65" s="176">
        <v>0</v>
      </c>
      <c r="I65" s="176">
        <v>0</v>
      </c>
      <c r="J65" s="176">
        <v>0</v>
      </c>
      <c r="K65" s="176">
        <v>0</v>
      </c>
      <c r="L65" s="176">
        <v>0</v>
      </c>
      <c r="M65" s="176">
        <v>0</v>
      </c>
      <c r="N65" s="176">
        <v>0</v>
      </c>
      <c r="O65" s="152">
        <v>985.4</v>
      </c>
      <c r="P65" s="152">
        <v>1600</v>
      </c>
      <c r="Q65" s="152">
        <v>6000</v>
      </c>
      <c r="R65" s="152"/>
      <c r="S65" s="153">
        <v>3500</v>
      </c>
      <c r="T65" s="153"/>
      <c r="U65" s="131"/>
    </row>
    <row r="66" spans="1:25" hidden="1" x14ac:dyDescent="0.25">
      <c r="A66" s="155" t="s">
        <v>414</v>
      </c>
      <c r="B66" s="156" t="s">
        <v>224</v>
      </c>
      <c r="C66" s="176">
        <v>0</v>
      </c>
      <c r="D66" s="176">
        <v>0</v>
      </c>
      <c r="E66" s="176">
        <v>0</v>
      </c>
      <c r="F66" s="176">
        <v>0</v>
      </c>
      <c r="G66" s="176">
        <v>0</v>
      </c>
      <c r="H66" s="176">
        <v>0</v>
      </c>
      <c r="I66" s="176">
        <v>0</v>
      </c>
      <c r="J66" s="176">
        <v>0</v>
      </c>
      <c r="K66" s="176">
        <v>0</v>
      </c>
      <c r="L66" s="176">
        <v>0</v>
      </c>
      <c r="M66" s="176">
        <v>0</v>
      </c>
      <c r="N66" s="176">
        <v>0</v>
      </c>
      <c r="O66" s="152">
        <v>15866.5</v>
      </c>
      <c r="P66" s="152">
        <v>16000</v>
      </c>
      <c r="Q66" s="152">
        <v>12300</v>
      </c>
      <c r="R66" s="152"/>
      <c r="S66" s="153">
        <v>14200</v>
      </c>
      <c r="T66" s="153"/>
      <c r="U66" s="131" t="s">
        <v>874</v>
      </c>
    </row>
    <row r="67" spans="1:25" hidden="1" x14ac:dyDescent="0.25">
      <c r="A67" s="155" t="s">
        <v>415</v>
      </c>
      <c r="B67" s="156" t="s">
        <v>381</v>
      </c>
      <c r="C67" s="176">
        <v>0</v>
      </c>
      <c r="D67" s="176">
        <v>0</v>
      </c>
      <c r="E67" s="176">
        <v>0</v>
      </c>
      <c r="F67" s="176">
        <v>0</v>
      </c>
      <c r="G67" s="176">
        <v>0</v>
      </c>
      <c r="H67" s="176">
        <v>0</v>
      </c>
      <c r="I67" s="176">
        <v>0</v>
      </c>
      <c r="J67" s="176">
        <v>0</v>
      </c>
      <c r="K67" s="176">
        <v>0</v>
      </c>
      <c r="L67" s="176">
        <v>0</v>
      </c>
      <c r="M67" s="176">
        <v>0</v>
      </c>
      <c r="N67" s="176">
        <v>0</v>
      </c>
      <c r="O67" s="152">
        <v>3505.53</v>
      </c>
      <c r="P67" s="152">
        <v>3600</v>
      </c>
      <c r="Q67" s="152">
        <v>1900</v>
      </c>
      <c r="R67" s="152"/>
      <c r="S67" s="153">
        <v>1333</v>
      </c>
      <c r="T67" s="153"/>
      <c r="U67" s="131" t="s">
        <v>875</v>
      </c>
    </row>
    <row r="68" spans="1:25" hidden="1" x14ac:dyDescent="0.25">
      <c r="A68" s="155" t="s">
        <v>416</v>
      </c>
      <c r="B68" s="156" t="s">
        <v>134</v>
      </c>
      <c r="C68" s="176">
        <v>0</v>
      </c>
      <c r="D68" s="176">
        <v>0</v>
      </c>
      <c r="E68" s="176">
        <v>0</v>
      </c>
      <c r="F68" s="176">
        <v>0</v>
      </c>
      <c r="G68" s="176">
        <v>0</v>
      </c>
      <c r="H68" s="176">
        <v>0</v>
      </c>
      <c r="I68" s="176">
        <v>0</v>
      </c>
      <c r="J68" s="176">
        <v>0</v>
      </c>
      <c r="K68" s="176">
        <v>0</v>
      </c>
      <c r="L68" s="176">
        <v>0</v>
      </c>
      <c r="M68" s="176">
        <v>0</v>
      </c>
      <c r="N68" s="176">
        <v>0</v>
      </c>
      <c r="O68" s="152">
        <v>27049.97</v>
      </c>
      <c r="P68" s="152">
        <v>28000</v>
      </c>
      <c r="Q68" s="152">
        <v>29900</v>
      </c>
      <c r="R68" s="152"/>
      <c r="S68" s="153">
        <v>28600</v>
      </c>
      <c r="T68" s="153"/>
      <c r="U68" s="131" t="s">
        <v>876</v>
      </c>
    </row>
    <row r="69" spans="1:25" hidden="1" x14ac:dyDescent="0.25">
      <c r="A69" s="168" t="s">
        <v>418</v>
      </c>
      <c r="B69" s="173"/>
      <c r="C69" s="169"/>
      <c r="D69" s="169"/>
      <c r="E69" s="169"/>
      <c r="F69" s="169"/>
      <c r="G69" s="169"/>
      <c r="H69" s="169"/>
      <c r="I69" s="169"/>
      <c r="J69" s="169"/>
      <c r="K69" s="169"/>
      <c r="L69" s="169"/>
      <c r="M69" s="169"/>
      <c r="N69" s="169"/>
      <c r="O69" s="174"/>
      <c r="P69" s="174"/>
      <c r="Q69" s="174"/>
      <c r="R69" s="174"/>
      <c r="S69" s="175"/>
      <c r="T69" s="175"/>
      <c r="U69" s="172"/>
    </row>
    <row r="70" spans="1:25" hidden="1" x14ac:dyDescent="0.25">
      <c r="A70" s="165" t="s">
        <v>419</v>
      </c>
      <c r="B70" s="156" t="s">
        <v>120</v>
      </c>
      <c r="C70" s="151">
        <v>2</v>
      </c>
      <c r="D70" s="151">
        <v>2</v>
      </c>
      <c r="E70" s="151">
        <v>2</v>
      </c>
      <c r="F70" s="151">
        <v>2</v>
      </c>
      <c r="G70" s="151">
        <v>2</v>
      </c>
      <c r="H70" s="151">
        <v>2</v>
      </c>
      <c r="I70" s="151">
        <v>2</v>
      </c>
      <c r="J70" s="151">
        <v>2</v>
      </c>
      <c r="K70" s="151">
        <v>2</v>
      </c>
      <c r="L70" s="151">
        <v>2</v>
      </c>
      <c r="M70" s="151">
        <v>2</v>
      </c>
      <c r="N70" s="151">
        <v>2</v>
      </c>
      <c r="O70" s="152">
        <v>14.6</v>
      </c>
      <c r="P70" s="152">
        <v>22</v>
      </c>
      <c r="Q70" s="152">
        <v>0</v>
      </c>
      <c r="R70" s="152"/>
      <c r="S70" s="153"/>
      <c r="T70" s="153"/>
      <c r="U70" s="131"/>
    </row>
    <row r="71" spans="1:25" hidden="1" x14ac:dyDescent="0.25">
      <c r="A71" s="165" t="s">
        <v>420</v>
      </c>
      <c r="B71" s="156" t="s">
        <v>421</v>
      </c>
      <c r="C71" s="151">
        <v>2</v>
      </c>
      <c r="D71" s="151">
        <v>2</v>
      </c>
      <c r="E71" s="151">
        <v>2</v>
      </c>
      <c r="F71" s="151">
        <v>2</v>
      </c>
      <c r="G71" s="151">
        <v>2</v>
      </c>
      <c r="H71" s="151">
        <v>2</v>
      </c>
      <c r="I71" s="151">
        <v>2</v>
      </c>
      <c r="J71" s="151">
        <v>2</v>
      </c>
      <c r="K71" s="151">
        <v>2</v>
      </c>
      <c r="L71" s="151">
        <v>2</v>
      </c>
      <c r="M71" s="151">
        <v>2</v>
      </c>
      <c r="N71" s="151">
        <v>2</v>
      </c>
      <c r="O71" s="152">
        <v>0</v>
      </c>
      <c r="P71" s="152">
        <v>55</v>
      </c>
      <c r="Q71" s="152">
        <v>0</v>
      </c>
      <c r="R71" s="152"/>
      <c r="S71" s="153"/>
      <c r="T71" s="153"/>
      <c r="U71" s="131"/>
      <c r="V71" s="8"/>
    </row>
    <row r="72" spans="1:25" hidden="1" x14ac:dyDescent="0.25">
      <c r="A72" s="165" t="s">
        <v>422</v>
      </c>
      <c r="B72" s="156" t="s">
        <v>124</v>
      </c>
      <c r="C72" s="151">
        <v>2</v>
      </c>
      <c r="D72" s="151">
        <v>2</v>
      </c>
      <c r="E72" s="151">
        <v>2</v>
      </c>
      <c r="F72" s="151">
        <v>2</v>
      </c>
      <c r="G72" s="151">
        <v>2</v>
      </c>
      <c r="H72" s="151">
        <v>2</v>
      </c>
      <c r="I72" s="151">
        <v>2</v>
      </c>
      <c r="J72" s="151">
        <v>2</v>
      </c>
      <c r="K72" s="151">
        <v>2</v>
      </c>
      <c r="L72" s="151">
        <v>2</v>
      </c>
      <c r="M72" s="151">
        <v>2</v>
      </c>
      <c r="N72" s="151">
        <v>2</v>
      </c>
      <c r="O72" s="152">
        <v>0</v>
      </c>
      <c r="P72" s="152">
        <v>22</v>
      </c>
      <c r="Q72" s="152">
        <v>0</v>
      </c>
      <c r="R72" s="152"/>
      <c r="S72" s="153"/>
      <c r="T72" s="153"/>
      <c r="U72" s="131"/>
      <c r="V72" s="8"/>
    </row>
    <row r="73" spans="1:25" hidden="1" x14ac:dyDescent="0.25">
      <c r="A73" s="155" t="s">
        <v>423</v>
      </c>
      <c r="B73" s="156" t="s">
        <v>179</v>
      </c>
      <c r="C73" s="151">
        <v>0</v>
      </c>
      <c r="D73" s="151">
        <v>0</v>
      </c>
      <c r="E73" s="151">
        <v>0</v>
      </c>
      <c r="F73" s="151">
        <v>0</v>
      </c>
      <c r="G73" s="151">
        <v>0</v>
      </c>
      <c r="H73" s="151">
        <v>0</v>
      </c>
      <c r="I73" s="151">
        <v>1200</v>
      </c>
      <c r="J73" s="151">
        <v>0</v>
      </c>
      <c r="K73" s="151">
        <v>0</v>
      </c>
      <c r="L73" s="151">
        <v>0</v>
      </c>
      <c r="M73" s="151">
        <v>0</v>
      </c>
      <c r="N73" s="151">
        <v>0</v>
      </c>
      <c r="O73" s="152">
        <v>960</v>
      </c>
      <c r="P73" s="152">
        <v>1200</v>
      </c>
      <c r="Q73" s="152">
        <v>1000</v>
      </c>
      <c r="R73" s="152"/>
      <c r="S73" s="153">
        <f>SUM(C73:N73)</f>
        <v>1200</v>
      </c>
      <c r="T73" s="153"/>
      <c r="U73" s="131"/>
      <c r="V73" s="8"/>
    </row>
    <row r="74" spans="1:25" hidden="1" x14ac:dyDescent="0.25">
      <c r="A74" s="155" t="s">
        <v>424</v>
      </c>
      <c r="B74" s="156" t="s">
        <v>877</v>
      </c>
      <c r="C74" s="151">
        <v>0</v>
      </c>
      <c r="D74" s="151">
        <v>0</v>
      </c>
      <c r="E74" s="151">
        <v>0</v>
      </c>
      <c r="F74" s="151">
        <v>0</v>
      </c>
      <c r="G74" s="151">
        <v>0</v>
      </c>
      <c r="H74" s="151">
        <v>0</v>
      </c>
      <c r="I74" s="151">
        <v>0</v>
      </c>
      <c r="J74" s="151">
        <v>0</v>
      </c>
      <c r="K74" s="151">
        <v>0</v>
      </c>
      <c r="L74" s="151">
        <v>0</v>
      </c>
      <c r="M74" s="151">
        <v>0</v>
      </c>
      <c r="N74" s="151">
        <v>0</v>
      </c>
      <c r="O74" s="152">
        <v>755.87</v>
      </c>
      <c r="P74" s="152">
        <v>1200</v>
      </c>
      <c r="Q74" s="152">
        <v>1500</v>
      </c>
      <c r="R74" s="152"/>
      <c r="S74" s="153">
        <v>0</v>
      </c>
      <c r="T74" s="153"/>
      <c r="U74" s="172"/>
      <c r="V74" s="8"/>
    </row>
    <row r="75" spans="1:25" hidden="1" x14ac:dyDescent="0.25">
      <c r="A75" s="168" t="s">
        <v>191</v>
      </c>
      <c r="B75" s="156"/>
      <c r="C75" s="167"/>
      <c r="D75" s="167"/>
      <c r="E75" s="167"/>
      <c r="F75" s="167"/>
      <c r="G75" s="167"/>
      <c r="H75" s="167"/>
      <c r="I75" s="167"/>
      <c r="J75" s="167"/>
      <c r="K75" s="167"/>
      <c r="L75" s="167"/>
      <c r="M75" s="167"/>
      <c r="N75" s="167"/>
      <c r="O75" s="152"/>
      <c r="P75" s="152"/>
      <c r="Q75" s="152"/>
      <c r="R75" s="152"/>
      <c r="S75" s="177"/>
      <c r="T75" s="177"/>
      <c r="U75" s="131"/>
      <c r="V75" s="8"/>
    </row>
    <row r="76" spans="1:25" hidden="1" x14ac:dyDescent="0.25">
      <c r="A76" s="155" t="s">
        <v>426</v>
      </c>
      <c r="B76" s="156" t="s">
        <v>427</v>
      </c>
      <c r="C76" s="151">
        <v>3000</v>
      </c>
      <c r="D76" s="151">
        <v>0</v>
      </c>
      <c r="E76" s="151">
        <v>0</v>
      </c>
      <c r="F76" s="151">
        <v>0</v>
      </c>
      <c r="G76" s="151">
        <v>0</v>
      </c>
      <c r="H76" s="151">
        <v>0</v>
      </c>
      <c r="I76" s="151">
        <v>0</v>
      </c>
      <c r="J76" s="151">
        <v>0</v>
      </c>
      <c r="K76" s="151">
        <v>0</v>
      </c>
      <c r="L76" s="151">
        <v>0</v>
      </c>
      <c r="M76" s="151">
        <v>0</v>
      </c>
      <c r="N76" s="151">
        <v>0</v>
      </c>
      <c r="O76" s="152">
        <v>0</v>
      </c>
      <c r="P76" s="152">
        <v>3000</v>
      </c>
      <c r="Q76" s="152">
        <v>3000</v>
      </c>
      <c r="R76" s="152"/>
      <c r="S76" s="153">
        <f>SUM(C76:N76)</f>
        <v>3000</v>
      </c>
      <c r="T76" s="153"/>
      <c r="U76" s="131"/>
      <c r="V76" s="8"/>
    </row>
    <row r="77" spans="1:25" hidden="1" x14ac:dyDescent="0.25">
      <c r="A77" s="155" t="s">
        <v>707</v>
      </c>
      <c r="B77" s="156" t="s">
        <v>878</v>
      </c>
      <c r="C77" s="151">
        <v>500</v>
      </c>
      <c r="D77" s="151">
        <v>0</v>
      </c>
      <c r="E77" s="151">
        <v>0</v>
      </c>
      <c r="F77" s="151">
        <v>0</v>
      </c>
      <c r="G77" s="151">
        <v>0</v>
      </c>
      <c r="H77" s="151">
        <v>0</v>
      </c>
      <c r="I77" s="151">
        <v>0</v>
      </c>
      <c r="J77" s="151">
        <v>0</v>
      </c>
      <c r="K77" s="151">
        <v>0</v>
      </c>
      <c r="L77" s="151">
        <v>0</v>
      </c>
      <c r="M77" s="151">
        <v>0</v>
      </c>
      <c r="N77" s="151">
        <v>0</v>
      </c>
      <c r="O77" s="152">
        <v>0</v>
      </c>
      <c r="P77" s="152">
        <v>960</v>
      </c>
      <c r="Q77" s="152">
        <v>500</v>
      </c>
      <c r="R77" s="152"/>
      <c r="S77" s="153">
        <f>SUM(C77:N77)</f>
        <v>500</v>
      </c>
      <c r="T77" s="153"/>
      <c r="U77" s="172"/>
      <c r="V77" s="8"/>
    </row>
    <row r="78" spans="1:25" hidden="1" x14ac:dyDescent="0.25">
      <c r="A78" s="168" t="s">
        <v>265</v>
      </c>
      <c r="B78" s="156"/>
      <c r="C78" s="169" t="s">
        <v>2</v>
      </c>
      <c r="D78" s="169" t="s">
        <v>3</v>
      </c>
      <c r="E78" s="169" t="s">
        <v>4</v>
      </c>
      <c r="F78" s="169" t="s">
        <v>5</v>
      </c>
      <c r="G78" s="169" t="s">
        <v>6</v>
      </c>
      <c r="H78" s="169" t="s">
        <v>7</v>
      </c>
      <c r="I78" s="169" t="s">
        <v>8</v>
      </c>
      <c r="J78" s="169" t="s">
        <v>9</v>
      </c>
      <c r="K78" s="169" t="s">
        <v>10</v>
      </c>
      <c r="L78" s="169" t="s">
        <v>11</v>
      </c>
      <c r="M78" s="169" t="s">
        <v>12</v>
      </c>
      <c r="N78" s="169" t="s">
        <v>13</v>
      </c>
      <c r="O78" s="174"/>
      <c r="P78" s="174"/>
      <c r="Q78" s="174"/>
      <c r="R78" s="174"/>
      <c r="S78" s="175"/>
      <c r="T78" s="175"/>
      <c r="U78" s="178"/>
      <c r="V78" s="8"/>
      <c r="W78" s="17"/>
      <c r="Y78" s="179"/>
    </row>
    <row r="79" spans="1:25" hidden="1" x14ac:dyDescent="0.25">
      <c r="A79" s="155" t="s">
        <v>266</v>
      </c>
      <c r="B79" s="156" t="s">
        <v>120</v>
      </c>
      <c r="C79" s="151">
        <v>0</v>
      </c>
      <c r="D79" s="151">
        <v>0</v>
      </c>
      <c r="E79" s="151">
        <v>0</v>
      </c>
      <c r="F79" s="151">
        <v>0</v>
      </c>
      <c r="G79" s="151">
        <v>0</v>
      </c>
      <c r="H79" s="151">
        <v>0</v>
      </c>
      <c r="I79" s="151">
        <v>0</v>
      </c>
      <c r="J79" s="151">
        <v>0</v>
      </c>
      <c r="K79" s="151">
        <v>0</v>
      </c>
      <c r="L79" s="151">
        <v>0</v>
      </c>
      <c r="M79" s="151">
        <v>0</v>
      </c>
      <c r="N79" s="151">
        <v>0</v>
      </c>
      <c r="O79" s="152">
        <v>1332</v>
      </c>
      <c r="P79" s="152">
        <v>192</v>
      </c>
      <c r="Q79" s="152">
        <v>4510</v>
      </c>
      <c r="R79" s="152"/>
      <c r="S79" s="153">
        <v>5000</v>
      </c>
      <c r="T79" s="153"/>
      <c r="U79" s="180"/>
      <c r="V79" s="181"/>
      <c r="W79" s="25"/>
      <c r="X79" s="5"/>
      <c r="Y79" s="179"/>
    </row>
    <row r="80" spans="1:25" hidden="1" x14ac:dyDescent="0.25">
      <c r="A80" s="155" t="s">
        <v>879</v>
      </c>
      <c r="B80" s="156" t="s">
        <v>122</v>
      </c>
      <c r="C80" s="151">
        <v>0</v>
      </c>
      <c r="D80" s="151">
        <v>0</v>
      </c>
      <c r="E80" s="151">
        <v>0</v>
      </c>
      <c r="F80" s="151">
        <v>0</v>
      </c>
      <c r="G80" s="151">
        <v>0</v>
      </c>
      <c r="H80" s="151">
        <v>0</v>
      </c>
      <c r="I80" s="151">
        <v>0</v>
      </c>
      <c r="J80" s="151">
        <v>0</v>
      </c>
      <c r="K80" s="151">
        <v>0</v>
      </c>
      <c r="L80" s="151">
        <v>0</v>
      </c>
      <c r="M80" s="151">
        <v>0</v>
      </c>
      <c r="N80" s="151">
        <v>0</v>
      </c>
      <c r="O80" s="152">
        <v>0</v>
      </c>
      <c r="P80" s="152">
        <v>0</v>
      </c>
      <c r="Q80" s="152">
        <v>560</v>
      </c>
      <c r="R80" s="152"/>
      <c r="S80" s="153">
        <f>SUM(C80:N80)</f>
        <v>0</v>
      </c>
      <c r="T80" s="153"/>
      <c r="U80" s="180"/>
      <c r="X80" s="5"/>
      <c r="Y80" s="179"/>
    </row>
    <row r="81" spans="1:25" hidden="1" x14ac:dyDescent="0.25">
      <c r="A81" s="155" t="s">
        <v>267</v>
      </c>
      <c r="B81" s="156" t="s">
        <v>126</v>
      </c>
      <c r="C81" s="151"/>
      <c r="D81" s="151"/>
      <c r="E81" s="151"/>
      <c r="F81" s="151"/>
      <c r="G81" s="151"/>
      <c r="H81" s="151"/>
      <c r="I81" s="151"/>
      <c r="J81" s="151"/>
      <c r="K81" s="151"/>
      <c r="L81" s="151"/>
      <c r="M81" s="151"/>
      <c r="N81" s="151"/>
      <c r="O81" s="152">
        <v>0</v>
      </c>
      <c r="P81" s="152">
        <v>2000</v>
      </c>
      <c r="Q81" s="152"/>
      <c r="R81" s="152"/>
      <c r="S81" s="153"/>
      <c r="T81" s="153"/>
      <c r="U81" s="180"/>
      <c r="X81" s="5"/>
      <c r="Y81" s="179"/>
    </row>
    <row r="82" spans="1:25" hidden="1" x14ac:dyDescent="0.25">
      <c r="A82" s="155" t="s">
        <v>269</v>
      </c>
      <c r="B82" s="156" t="s">
        <v>242</v>
      </c>
      <c r="C82" s="151">
        <v>0</v>
      </c>
      <c r="D82" s="151">
        <v>0</v>
      </c>
      <c r="E82" s="151">
        <v>0</v>
      </c>
      <c r="F82" s="151">
        <v>0</v>
      </c>
      <c r="G82" s="151">
        <v>0</v>
      </c>
      <c r="H82" s="151">
        <v>0</v>
      </c>
      <c r="I82" s="151">
        <v>0</v>
      </c>
      <c r="J82" s="151">
        <v>0</v>
      </c>
      <c r="K82" s="151">
        <v>0</v>
      </c>
      <c r="L82" s="151">
        <v>0</v>
      </c>
      <c r="M82" s="151">
        <v>0</v>
      </c>
      <c r="N82" s="151">
        <v>0</v>
      </c>
      <c r="O82" s="152">
        <v>863</v>
      </c>
      <c r="P82" s="152">
        <v>1750</v>
      </c>
      <c r="Q82" s="152">
        <v>5000</v>
      </c>
      <c r="R82" s="152"/>
      <c r="S82" s="153">
        <v>4000</v>
      </c>
      <c r="T82" s="153"/>
      <c r="U82" s="180"/>
      <c r="X82" s="25"/>
      <c r="Y82" s="179"/>
    </row>
    <row r="83" spans="1:25" hidden="1" x14ac:dyDescent="0.25">
      <c r="A83" s="155" t="s">
        <v>270</v>
      </c>
      <c r="B83" s="156" t="s">
        <v>271</v>
      </c>
      <c r="C83" s="151">
        <v>0</v>
      </c>
      <c r="D83" s="151">
        <v>0</v>
      </c>
      <c r="E83" s="151">
        <v>0</v>
      </c>
      <c r="F83" s="151">
        <v>0</v>
      </c>
      <c r="G83" s="151">
        <v>0</v>
      </c>
      <c r="H83" s="151">
        <v>0</v>
      </c>
      <c r="I83" s="151">
        <v>0</v>
      </c>
      <c r="J83" s="151">
        <v>0</v>
      </c>
      <c r="K83" s="151">
        <v>0</v>
      </c>
      <c r="L83" s="151">
        <v>0</v>
      </c>
      <c r="M83" s="151">
        <v>0</v>
      </c>
      <c r="N83" s="151">
        <v>0</v>
      </c>
      <c r="O83" s="152">
        <v>225</v>
      </c>
      <c r="P83" s="152">
        <v>350</v>
      </c>
      <c r="Q83" s="152">
        <v>350</v>
      </c>
      <c r="R83" s="152"/>
      <c r="S83" s="153">
        <v>350</v>
      </c>
      <c r="T83" s="153"/>
      <c r="U83" s="180"/>
      <c r="Y83" s="179"/>
    </row>
    <row r="84" spans="1:25" hidden="1" x14ac:dyDescent="0.25">
      <c r="A84" s="155" t="s">
        <v>272</v>
      </c>
      <c r="B84" s="156" t="s">
        <v>134</v>
      </c>
      <c r="C84" s="151">
        <v>0</v>
      </c>
      <c r="D84" s="151">
        <v>0</v>
      </c>
      <c r="E84" s="151">
        <v>0</v>
      </c>
      <c r="F84" s="151">
        <v>0</v>
      </c>
      <c r="G84" s="151">
        <v>0</v>
      </c>
      <c r="H84" s="151">
        <v>0</v>
      </c>
      <c r="I84" s="151">
        <v>0</v>
      </c>
      <c r="J84" s="151">
        <v>0</v>
      </c>
      <c r="K84" s="151">
        <v>0</v>
      </c>
      <c r="L84" s="151">
        <v>0</v>
      </c>
      <c r="M84" s="151">
        <v>0</v>
      </c>
      <c r="N84" s="151">
        <v>0</v>
      </c>
      <c r="O84" s="152">
        <v>3023</v>
      </c>
      <c r="P84" s="152">
        <v>2076</v>
      </c>
      <c r="Q84" s="152">
        <v>2076</v>
      </c>
      <c r="R84" s="152"/>
      <c r="S84" s="153">
        <v>2000</v>
      </c>
      <c r="T84" s="153"/>
      <c r="U84" s="182"/>
      <c r="Y84" s="179"/>
    </row>
    <row r="85" spans="1:25" hidden="1" x14ac:dyDescent="0.25">
      <c r="A85" s="168" t="s">
        <v>47</v>
      </c>
      <c r="B85" s="156"/>
      <c r="C85" s="169" t="s">
        <v>2</v>
      </c>
      <c r="D85" s="169" t="s">
        <v>3</v>
      </c>
      <c r="E85" s="169" t="s">
        <v>4</v>
      </c>
      <c r="F85" s="169" t="s">
        <v>5</v>
      </c>
      <c r="G85" s="169" t="s">
        <v>6</v>
      </c>
      <c r="H85" s="169" t="s">
        <v>7</v>
      </c>
      <c r="I85" s="169" t="s">
        <v>8</v>
      </c>
      <c r="J85" s="169" t="s">
        <v>9</v>
      </c>
      <c r="K85" s="169" t="s">
        <v>10</v>
      </c>
      <c r="L85" s="169" t="s">
        <v>11</v>
      </c>
      <c r="M85" s="169" t="s">
        <v>12</v>
      </c>
      <c r="N85" s="169" t="s">
        <v>13</v>
      </c>
      <c r="O85" s="174"/>
      <c r="P85" s="174"/>
      <c r="Q85" s="174"/>
      <c r="R85" s="174"/>
      <c r="S85" s="175"/>
      <c r="T85" s="175"/>
      <c r="U85" s="131"/>
    </row>
    <row r="86" spans="1:25" hidden="1" x14ac:dyDescent="0.25">
      <c r="A86" s="165" t="s">
        <v>880</v>
      </c>
      <c r="B86" s="156" t="s">
        <v>120</v>
      </c>
      <c r="C86" s="151">
        <v>0</v>
      </c>
      <c r="D86" s="151">
        <v>0</v>
      </c>
      <c r="E86" s="151">
        <v>0</v>
      </c>
      <c r="F86" s="151">
        <v>0</v>
      </c>
      <c r="G86" s="151">
        <v>0</v>
      </c>
      <c r="H86" s="151">
        <v>0</v>
      </c>
      <c r="I86" s="151">
        <v>0</v>
      </c>
      <c r="J86" s="151">
        <v>0</v>
      </c>
      <c r="K86" s="151">
        <v>0</v>
      </c>
      <c r="L86" s="151">
        <v>0</v>
      </c>
      <c r="M86" s="151">
        <v>0</v>
      </c>
      <c r="N86" s="151">
        <v>0</v>
      </c>
      <c r="O86" s="152">
        <v>0</v>
      </c>
      <c r="P86" s="152">
        <v>60</v>
      </c>
      <c r="Q86" s="152">
        <v>60</v>
      </c>
      <c r="R86" s="152"/>
      <c r="S86" s="153">
        <f>SUM(C86:N86)</f>
        <v>0</v>
      </c>
      <c r="T86" s="153"/>
      <c r="U86" s="183" t="s">
        <v>881</v>
      </c>
      <c r="V86" s="8"/>
    </row>
    <row r="87" spans="1:25" hidden="1" x14ac:dyDescent="0.25">
      <c r="A87" s="165" t="s">
        <v>882</v>
      </c>
      <c r="B87" s="156" t="s">
        <v>122</v>
      </c>
      <c r="C87" s="151">
        <v>0</v>
      </c>
      <c r="D87" s="151">
        <v>0</v>
      </c>
      <c r="E87" s="151">
        <v>0</v>
      </c>
      <c r="F87" s="151">
        <v>0</v>
      </c>
      <c r="G87" s="151">
        <v>0</v>
      </c>
      <c r="H87" s="151">
        <v>0</v>
      </c>
      <c r="I87" s="151">
        <v>0</v>
      </c>
      <c r="J87" s="151">
        <v>0</v>
      </c>
      <c r="K87" s="151">
        <v>0</v>
      </c>
      <c r="L87" s="151">
        <v>0</v>
      </c>
      <c r="M87" s="151">
        <v>0</v>
      </c>
      <c r="N87" s="151">
        <v>0</v>
      </c>
      <c r="O87" s="152">
        <v>0</v>
      </c>
      <c r="P87" s="152">
        <v>60</v>
      </c>
      <c r="Q87" s="152">
        <v>60</v>
      </c>
      <c r="R87" s="152"/>
      <c r="S87" s="153">
        <f>SUM(C87:N87)</f>
        <v>0</v>
      </c>
      <c r="T87" s="153"/>
      <c r="U87" s="183" t="s">
        <v>881</v>
      </c>
      <c r="V87" s="8"/>
    </row>
    <row r="88" spans="1:25" hidden="1" x14ac:dyDescent="0.25">
      <c r="A88" s="165" t="s">
        <v>883</v>
      </c>
      <c r="B88" s="156" t="s">
        <v>124</v>
      </c>
      <c r="C88" s="151">
        <v>0</v>
      </c>
      <c r="D88" s="151">
        <v>0</v>
      </c>
      <c r="E88" s="151">
        <v>0</v>
      </c>
      <c r="F88" s="151">
        <v>0</v>
      </c>
      <c r="G88" s="151">
        <v>0</v>
      </c>
      <c r="H88" s="151">
        <v>0</v>
      </c>
      <c r="I88" s="151">
        <v>0</v>
      </c>
      <c r="J88" s="151">
        <v>0</v>
      </c>
      <c r="K88" s="151">
        <v>0</v>
      </c>
      <c r="L88" s="151">
        <v>0</v>
      </c>
      <c r="M88" s="151">
        <v>0</v>
      </c>
      <c r="N88" s="151">
        <v>0</v>
      </c>
      <c r="O88" s="152">
        <v>0</v>
      </c>
      <c r="P88" s="152">
        <v>60</v>
      </c>
      <c r="Q88" s="152">
        <v>60</v>
      </c>
      <c r="R88" s="152"/>
      <c r="S88" s="153">
        <f>SUM(C88:N88)</f>
        <v>0</v>
      </c>
      <c r="T88" s="153"/>
      <c r="U88" s="183" t="s">
        <v>881</v>
      </c>
      <c r="V88" s="8"/>
    </row>
    <row r="89" spans="1:25" hidden="1" x14ac:dyDescent="0.25">
      <c r="A89" s="155" t="s">
        <v>261</v>
      </c>
      <c r="B89" s="156" t="s">
        <v>197</v>
      </c>
      <c r="C89" s="151">
        <v>0</v>
      </c>
      <c r="D89" s="151">
        <v>0</v>
      </c>
      <c r="E89" s="151">
        <v>0</v>
      </c>
      <c r="F89" s="151">
        <v>0</v>
      </c>
      <c r="G89" s="151">
        <v>0</v>
      </c>
      <c r="H89" s="151">
        <v>0</v>
      </c>
      <c r="I89" s="151">
        <v>0</v>
      </c>
      <c r="J89" s="151">
        <v>0</v>
      </c>
      <c r="K89" s="151">
        <v>0</v>
      </c>
      <c r="L89" s="151">
        <v>0</v>
      </c>
      <c r="M89" s="151">
        <v>0</v>
      </c>
      <c r="N89" s="151">
        <v>0</v>
      </c>
      <c r="O89" s="184">
        <v>3248.99</v>
      </c>
      <c r="P89" s="152">
        <v>2500</v>
      </c>
      <c r="Q89" s="152">
        <v>2321</v>
      </c>
      <c r="R89" s="152"/>
      <c r="S89" s="153">
        <f>SUM(C89:N89)</f>
        <v>0</v>
      </c>
      <c r="T89" s="153"/>
      <c r="U89" s="185"/>
      <c r="V89" s="186"/>
    </row>
    <row r="90" spans="1:25" hidden="1" x14ac:dyDescent="0.25">
      <c r="A90" s="168" t="s">
        <v>273</v>
      </c>
      <c r="B90" s="156"/>
      <c r="C90" s="169"/>
      <c r="D90" s="169"/>
      <c r="E90" s="169"/>
      <c r="F90" s="169"/>
      <c r="G90" s="169"/>
      <c r="H90" s="169"/>
      <c r="I90" s="169"/>
      <c r="J90" s="169"/>
      <c r="K90" s="169"/>
      <c r="L90" s="169"/>
      <c r="M90" s="169"/>
      <c r="N90" s="169"/>
      <c r="O90" s="174"/>
      <c r="P90" s="174"/>
      <c r="Q90" s="174"/>
      <c r="R90" s="174"/>
      <c r="S90" s="175"/>
      <c r="T90" s="175"/>
      <c r="U90" s="131"/>
      <c r="V90" s="8"/>
    </row>
    <row r="91" spans="1:25" hidden="1" x14ac:dyDescent="0.25">
      <c r="A91" s="155" t="s">
        <v>274</v>
      </c>
      <c r="B91" s="156" t="s">
        <v>126</v>
      </c>
      <c r="C91" s="151">
        <v>0</v>
      </c>
      <c r="D91" s="151">
        <v>0</v>
      </c>
      <c r="E91" s="151">
        <v>0</v>
      </c>
      <c r="F91" s="151">
        <v>0</v>
      </c>
      <c r="G91" s="151">
        <v>0</v>
      </c>
      <c r="H91" s="151">
        <v>0</v>
      </c>
      <c r="I91" s="151">
        <v>0</v>
      </c>
      <c r="J91" s="151">
        <v>0</v>
      </c>
      <c r="K91" s="151">
        <v>0</v>
      </c>
      <c r="L91" s="151">
        <v>0</v>
      </c>
      <c r="M91" s="151">
        <v>0</v>
      </c>
      <c r="N91" s="151">
        <v>0</v>
      </c>
      <c r="O91" s="152">
        <v>155</v>
      </c>
      <c r="P91" s="152">
        <v>1000</v>
      </c>
      <c r="Q91" s="152">
        <v>164</v>
      </c>
      <c r="R91" s="152"/>
      <c r="S91" s="153">
        <v>2400</v>
      </c>
      <c r="T91" s="153"/>
      <c r="U91" s="131" t="s">
        <v>884</v>
      </c>
      <c r="V91" s="8"/>
    </row>
    <row r="92" spans="1:25" hidden="1" x14ac:dyDescent="0.25">
      <c r="A92" s="155" t="s">
        <v>275</v>
      </c>
      <c r="B92" s="156" t="s">
        <v>276</v>
      </c>
      <c r="C92" s="151">
        <v>0</v>
      </c>
      <c r="D92" s="151">
        <v>0</v>
      </c>
      <c r="E92" s="151">
        <v>0</v>
      </c>
      <c r="F92" s="151">
        <v>0</v>
      </c>
      <c r="G92" s="151">
        <v>0</v>
      </c>
      <c r="H92" s="151">
        <v>0</v>
      </c>
      <c r="I92" s="151">
        <v>0</v>
      </c>
      <c r="J92" s="151">
        <v>0</v>
      </c>
      <c r="K92" s="151">
        <v>0</v>
      </c>
      <c r="L92" s="151">
        <v>0</v>
      </c>
      <c r="M92" s="151">
        <v>0</v>
      </c>
      <c r="N92" s="151">
        <v>0</v>
      </c>
      <c r="O92" s="152">
        <v>2906</v>
      </c>
      <c r="P92" s="152">
        <v>3060</v>
      </c>
      <c r="Q92" s="152">
        <v>3065</v>
      </c>
      <c r="R92" s="152"/>
      <c r="S92" s="153">
        <v>3000</v>
      </c>
      <c r="T92" s="153"/>
      <c r="U92" s="131"/>
      <c r="V92" s="8"/>
    </row>
    <row r="93" spans="1:25" hidden="1" x14ac:dyDescent="0.25">
      <c r="A93" s="168" t="s">
        <v>277</v>
      </c>
      <c r="B93" s="156"/>
      <c r="C93" s="169"/>
      <c r="D93" s="169"/>
      <c r="E93" s="169"/>
      <c r="F93" s="169"/>
      <c r="G93" s="169"/>
      <c r="H93" s="169"/>
      <c r="I93" s="169"/>
      <c r="J93" s="169"/>
      <c r="K93" s="169"/>
      <c r="L93" s="169"/>
      <c r="M93" s="169"/>
      <c r="N93" s="169"/>
      <c r="O93" s="174"/>
      <c r="P93" s="174"/>
      <c r="Q93" s="174"/>
      <c r="R93" s="174"/>
      <c r="S93" s="175"/>
      <c r="T93" s="175"/>
      <c r="U93" s="172"/>
      <c r="V93" s="8"/>
    </row>
    <row r="94" spans="1:25" hidden="1" x14ac:dyDescent="0.25">
      <c r="A94" s="155" t="s">
        <v>278</v>
      </c>
      <c r="B94" s="156" t="s">
        <v>118</v>
      </c>
      <c r="C94" s="151">
        <v>0</v>
      </c>
      <c r="D94" s="151">
        <v>0</v>
      </c>
      <c r="E94" s="151">
        <v>0</v>
      </c>
      <c r="F94" s="151">
        <v>0</v>
      </c>
      <c r="G94" s="151">
        <v>0</v>
      </c>
      <c r="H94" s="151">
        <v>0</v>
      </c>
      <c r="I94" s="151">
        <v>0</v>
      </c>
      <c r="J94" s="151">
        <v>0</v>
      </c>
      <c r="K94" s="151">
        <v>0</v>
      </c>
      <c r="L94" s="151">
        <v>0</v>
      </c>
      <c r="M94" s="151">
        <v>0</v>
      </c>
      <c r="N94" s="151">
        <v>0</v>
      </c>
      <c r="O94" s="152">
        <v>117.39</v>
      </c>
      <c r="P94" s="152">
        <v>144</v>
      </c>
      <c r="Q94" s="152">
        <v>144</v>
      </c>
      <c r="R94" s="152"/>
      <c r="S94" s="153"/>
      <c r="T94" s="153"/>
      <c r="U94" s="131" t="s">
        <v>870</v>
      </c>
      <c r="V94" s="8"/>
    </row>
    <row r="95" spans="1:25" hidden="1" x14ac:dyDescent="0.25">
      <c r="A95" s="155" t="s">
        <v>279</v>
      </c>
      <c r="B95" s="156" t="s">
        <v>120</v>
      </c>
      <c r="C95" s="151">
        <v>0</v>
      </c>
      <c r="D95" s="151">
        <v>0</v>
      </c>
      <c r="E95" s="151">
        <v>0</v>
      </c>
      <c r="F95" s="151">
        <v>0</v>
      </c>
      <c r="G95" s="151">
        <v>0</v>
      </c>
      <c r="H95" s="151">
        <v>0</v>
      </c>
      <c r="I95" s="151">
        <v>0</v>
      </c>
      <c r="J95" s="151">
        <v>0</v>
      </c>
      <c r="K95" s="151">
        <v>0</v>
      </c>
      <c r="L95" s="151">
        <v>0</v>
      </c>
      <c r="M95" s="151">
        <v>0</v>
      </c>
      <c r="N95" s="151">
        <v>0</v>
      </c>
      <c r="O95" s="152">
        <v>300</v>
      </c>
      <c r="P95" s="152">
        <v>240</v>
      </c>
      <c r="Q95" s="152">
        <v>240</v>
      </c>
      <c r="R95" s="152"/>
      <c r="S95" s="153">
        <f>SUM(C95:N95)</f>
        <v>0</v>
      </c>
      <c r="T95" s="153"/>
      <c r="U95" s="131"/>
      <c r="V95" s="8"/>
    </row>
    <row r="96" spans="1:25" hidden="1" x14ac:dyDescent="0.25">
      <c r="A96" s="155" t="s">
        <v>280</v>
      </c>
      <c r="B96" s="156" t="s">
        <v>122</v>
      </c>
      <c r="C96" s="151">
        <v>0</v>
      </c>
      <c r="D96" s="151">
        <v>0</v>
      </c>
      <c r="E96" s="151">
        <v>0</v>
      </c>
      <c r="F96" s="151">
        <v>0</v>
      </c>
      <c r="G96" s="151">
        <v>0</v>
      </c>
      <c r="H96" s="151">
        <v>0</v>
      </c>
      <c r="I96" s="151">
        <v>0</v>
      </c>
      <c r="J96" s="151">
        <v>0</v>
      </c>
      <c r="K96" s="151">
        <v>0</v>
      </c>
      <c r="L96" s="151">
        <v>0</v>
      </c>
      <c r="M96" s="151">
        <v>0</v>
      </c>
      <c r="N96" s="151">
        <v>0</v>
      </c>
      <c r="O96" s="152">
        <v>0</v>
      </c>
      <c r="P96" s="152">
        <v>60</v>
      </c>
      <c r="Q96" s="152">
        <v>60</v>
      </c>
      <c r="R96" s="152"/>
      <c r="S96" s="153">
        <v>60</v>
      </c>
      <c r="T96" s="153"/>
      <c r="U96" s="131"/>
      <c r="V96" s="8"/>
    </row>
    <row r="97" spans="1:22" hidden="1" x14ac:dyDescent="0.25">
      <c r="A97" s="155" t="s">
        <v>281</v>
      </c>
      <c r="B97" s="156" t="s">
        <v>124</v>
      </c>
      <c r="C97" s="151">
        <v>0</v>
      </c>
      <c r="D97" s="151">
        <v>0</v>
      </c>
      <c r="E97" s="151">
        <v>0</v>
      </c>
      <c r="F97" s="151">
        <v>0</v>
      </c>
      <c r="G97" s="151">
        <v>0</v>
      </c>
      <c r="H97" s="151">
        <v>0</v>
      </c>
      <c r="I97" s="151">
        <v>0</v>
      </c>
      <c r="J97" s="151">
        <v>0</v>
      </c>
      <c r="K97" s="151">
        <v>0</v>
      </c>
      <c r="L97" s="151">
        <v>0</v>
      </c>
      <c r="M97" s="151">
        <v>0</v>
      </c>
      <c r="N97" s="151">
        <v>0</v>
      </c>
      <c r="O97" s="152">
        <v>482</v>
      </c>
      <c r="P97" s="152">
        <v>534</v>
      </c>
      <c r="Q97" s="152">
        <v>534</v>
      </c>
      <c r="R97" s="152"/>
      <c r="S97" s="153"/>
      <c r="T97" s="153"/>
      <c r="U97" s="131"/>
      <c r="V97" s="8"/>
    </row>
    <row r="98" spans="1:22" hidden="1" x14ac:dyDescent="0.25">
      <c r="A98" s="155" t="s">
        <v>282</v>
      </c>
      <c r="B98" s="156" t="s">
        <v>126</v>
      </c>
      <c r="C98" s="151">
        <v>0</v>
      </c>
      <c r="D98" s="151">
        <v>0</v>
      </c>
      <c r="E98" s="151">
        <v>0</v>
      </c>
      <c r="F98" s="151">
        <v>0</v>
      </c>
      <c r="G98" s="151">
        <v>0</v>
      </c>
      <c r="H98" s="151">
        <v>0</v>
      </c>
      <c r="I98" s="151">
        <v>0</v>
      </c>
      <c r="J98" s="151">
        <v>0</v>
      </c>
      <c r="K98" s="151">
        <v>0</v>
      </c>
      <c r="L98" s="151">
        <v>0</v>
      </c>
      <c r="M98" s="151">
        <v>0</v>
      </c>
      <c r="N98" s="151">
        <v>0</v>
      </c>
      <c r="O98" s="152">
        <v>2231</v>
      </c>
      <c r="P98" s="152">
        <v>3000</v>
      </c>
      <c r="Q98" s="152">
        <v>1800</v>
      </c>
      <c r="R98" s="152"/>
      <c r="S98" s="153">
        <v>2000</v>
      </c>
      <c r="T98" s="153"/>
      <c r="U98" s="131"/>
      <c r="V98" s="8"/>
    </row>
    <row r="99" spans="1:22" hidden="1" x14ac:dyDescent="0.25">
      <c r="A99" s="155" t="s">
        <v>283</v>
      </c>
      <c r="B99" s="156" t="s">
        <v>284</v>
      </c>
      <c r="C99" s="151">
        <v>0</v>
      </c>
      <c r="D99" s="151">
        <v>0</v>
      </c>
      <c r="E99" s="151">
        <v>0</v>
      </c>
      <c r="F99" s="151">
        <v>0</v>
      </c>
      <c r="G99" s="151">
        <v>0</v>
      </c>
      <c r="H99" s="151">
        <v>0</v>
      </c>
      <c r="I99" s="151">
        <v>0</v>
      </c>
      <c r="J99" s="151">
        <v>0</v>
      </c>
      <c r="K99" s="151">
        <v>0</v>
      </c>
      <c r="L99" s="151">
        <v>0</v>
      </c>
      <c r="M99" s="151">
        <v>0</v>
      </c>
      <c r="N99" s="151">
        <v>0</v>
      </c>
      <c r="O99" s="152">
        <v>0</v>
      </c>
      <c r="P99" s="152">
        <v>0</v>
      </c>
      <c r="Q99" s="152">
        <v>1414</v>
      </c>
      <c r="R99" s="152"/>
      <c r="S99" s="153">
        <f>SUM(C99:N99)</f>
        <v>0</v>
      </c>
      <c r="T99" s="153"/>
      <c r="U99" s="131"/>
      <c r="V99" s="8"/>
    </row>
    <row r="100" spans="1:22" hidden="1" x14ac:dyDescent="0.25">
      <c r="A100" s="155" t="s">
        <v>285</v>
      </c>
      <c r="B100" s="156" t="s">
        <v>179</v>
      </c>
      <c r="C100" s="151">
        <v>0</v>
      </c>
      <c r="D100" s="151">
        <v>0</v>
      </c>
      <c r="E100" s="151">
        <v>0</v>
      </c>
      <c r="F100" s="151">
        <v>0</v>
      </c>
      <c r="G100" s="151">
        <v>0</v>
      </c>
      <c r="H100" s="151">
        <v>0</v>
      </c>
      <c r="I100" s="151">
        <v>0</v>
      </c>
      <c r="J100" s="151">
        <v>0</v>
      </c>
      <c r="K100" s="151">
        <v>0</v>
      </c>
      <c r="L100" s="151">
        <v>0</v>
      </c>
      <c r="M100" s="151">
        <v>0</v>
      </c>
      <c r="N100" s="151">
        <v>0</v>
      </c>
      <c r="O100" s="152">
        <v>254</v>
      </c>
      <c r="P100" s="152">
        <v>72</v>
      </c>
      <c r="Q100" s="152">
        <v>72</v>
      </c>
      <c r="R100" s="152"/>
      <c r="S100" s="153">
        <v>72</v>
      </c>
      <c r="T100" s="153"/>
      <c r="U100" s="131"/>
      <c r="V100" s="8"/>
    </row>
    <row r="101" spans="1:22" hidden="1" x14ac:dyDescent="0.25">
      <c r="A101" s="155" t="s">
        <v>286</v>
      </c>
      <c r="B101" s="156" t="s">
        <v>287</v>
      </c>
      <c r="C101" s="151">
        <v>0</v>
      </c>
      <c r="D101" s="151">
        <v>0</v>
      </c>
      <c r="E101" s="151">
        <v>0</v>
      </c>
      <c r="F101" s="151">
        <v>0</v>
      </c>
      <c r="G101" s="151">
        <v>0</v>
      </c>
      <c r="H101" s="151">
        <v>0</v>
      </c>
      <c r="I101" s="151">
        <v>0</v>
      </c>
      <c r="J101" s="151">
        <v>0</v>
      </c>
      <c r="K101" s="151">
        <v>0</v>
      </c>
      <c r="L101" s="151">
        <v>0</v>
      </c>
      <c r="M101" s="151">
        <v>0</v>
      </c>
      <c r="N101" s="151">
        <v>0</v>
      </c>
      <c r="O101" s="152">
        <v>1219</v>
      </c>
      <c r="P101" s="152">
        <v>800</v>
      </c>
      <c r="Q101" s="152">
        <v>700</v>
      </c>
      <c r="R101" s="152"/>
      <c r="S101" s="153">
        <v>850</v>
      </c>
      <c r="T101" s="153"/>
      <c r="U101" s="131"/>
      <c r="V101" s="8"/>
    </row>
    <row r="102" spans="1:22" hidden="1" x14ac:dyDescent="0.25">
      <c r="A102" s="155" t="s">
        <v>288</v>
      </c>
      <c r="B102" s="156" t="s">
        <v>289</v>
      </c>
      <c r="C102" s="151">
        <v>0</v>
      </c>
      <c r="D102" s="151">
        <v>0</v>
      </c>
      <c r="E102" s="151">
        <v>0</v>
      </c>
      <c r="F102" s="151">
        <v>0</v>
      </c>
      <c r="G102" s="151">
        <v>0</v>
      </c>
      <c r="H102" s="151">
        <v>0</v>
      </c>
      <c r="I102" s="151">
        <v>0</v>
      </c>
      <c r="J102" s="151">
        <v>0</v>
      </c>
      <c r="K102" s="151">
        <v>0</v>
      </c>
      <c r="L102" s="151">
        <v>0</v>
      </c>
      <c r="M102" s="151">
        <v>0</v>
      </c>
      <c r="N102" s="151">
        <v>0</v>
      </c>
      <c r="O102" s="152">
        <v>46481</v>
      </c>
      <c r="P102" s="152">
        <v>71590</v>
      </c>
      <c r="Q102" s="152">
        <v>37140</v>
      </c>
      <c r="R102" s="152"/>
      <c r="S102" s="153">
        <v>42250</v>
      </c>
      <c r="T102" s="153"/>
      <c r="U102" s="131"/>
      <c r="V102" s="8"/>
    </row>
    <row r="103" spans="1:22" hidden="1" x14ac:dyDescent="0.25">
      <c r="A103" s="155" t="s">
        <v>290</v>
      </c>
      <c r="B103" s="156" t="s">
        <v>134</v>
      </c>
      <c r="C103" s="151">
        <v>0</v>
      </c>
      <c r="D103" s="151">
        <v>0</v>
      </c>
      <c r="E103" s="151">
        <v>0</v>
      </c>
      <c r="F103" s="151">
        <v>0</v>
      </c>
      <c r="G103" s="151">
        <v>0</v>
      </c>
      <c r="H103" s="151">
        <v>0</v>
      </c>
      <c r="I103" s="151">
        <v>0</v>
      </c>
      <c r="J103" s="151">
        <v>0</v>
      </c>
      <c r="K103" s="151">
        <v>0</v>
      </c>
      <c r="L103" s="151">
        <v>0</v>
      </c>
      <c r="M103" s="151">
        <v>0</v>
      </c>
      <c r="N103" s="151">
        <v>0</v>
      </c>
      <c r="O103" s="152">
        <v>27</v>
      </c>
      <c r="P103" s="152">
        <v>60</v>
      </c>
      <c r="Q103" s="152">
        <v>64</v>
      </c>
      <c r="R103" s="152"/>
      <c r="S103" s="153">
        <v>60</v>
      </c>
      <c r="T103" s="153"/>
      <c r="U103" s="172"/>
      <c r="V103" s="8"/>
    </row>
    <row r="104" spans="1:22" hidden="1" x14ac:dyDescent="0.25">
      <c r="A104" s="168" t="s">
        <v>291</v>
      </c>
      <c r="B104" s="156"/>
      <c r="C104" s="169"/>
      <c r="D104" s="169"/>
      <c r="E104" s="169"/>
      <c r="F104" s="169"/>
      <c r="G104" s="169"/>
      <c r="H104" s="169"/>
      <c r="I104" s="169"/>
      <c r="J104" s="169"/>
      <c r="K104" s="169"/>
      <c r="L104" s="169"/>
      <c r="M104" s="169"/>
      <c r="N104" s="169"/>
      <c r="O104" s="174"/>
      <c r="P104" s="174"/>
      <c r="Q104" s="174"/>
      <c r="R104" s="174"/>
      <c r="S104" s="175"/>
      <c r="T104" s="175"/>
      <c r="U104" s="131"/>
      <c r="V104" s="8"/>
    </row>
    <row r="105" spans="1:22" hidden="1" x14ac:dyDescent="0.25">
      <c r="A105" s="155" t="s">
        <v>292</v>
      </c>
      <c r="B105" s="156" t="s">
        <v>118</v>
      </c>
      <c r="C105" s="151">
        <v>10</v>
      </c>
      <c r="D105" s="151">
        <v>10</v>
      </c>
      <c r="E105" s="151">
        <v>10</v>
      </c>
      <c r="F105" s="151">
        <v>10</v>
      </c>
      <c r="G105" s="151">
        <v>10</v>
      </c>
      <c r="H105" s="151">
        <v>10</v>
      </c>
      <c r="I105" s="151">
        <v>10</v>
      </c>
      <c r="J105" s="151">
        <v>10</v>
      </c>
      <c r="K105" s="151">
        <v>10</v>
      </c>
      <c r="L105" s="151">
        <v>10</v>
      </c>
      <c r="M105" s="151">
        <v>10</v>
      </c>
      <c r="N105" s="151">
        <v>10</v>
      </c>
      <c r="O105" s="152">
        <v>19.38</v>
      </c>
      <c r="P105" s="152">
        <v>0</v>
      </c>
      <c r="Q105" s="152"/>
      <c r="R105" s="152"/>
      <c r="S105" s="153"/>
      <c r="T105" s="153"/>
      <c r="U105" s="131" t="s">
        <v>870</v>
      </c>
      <c r="V105" s="8"/>
    </row>
    <row r="106" spans="1:22" hidden="1" x14ac:dyDescent="0.25">
      <c r="A106" s="155" t="s">
        <v>293</v>
      </c>
      <c r="B106" s="156" t="s">
        <v>120</v>
      </c>
      <c r="C106" s="151">
        <v>10</v>
      </c>
      <c r="D106" s="151">
        <v>10</v>
      </c>
      <c r="E106" s="151">
        <v>10</v>
      </c>
      <c r="F106" s="151">
        <v>10</v>
      </c>
      <c r="G106" s="151">
        <v>10</v>
      </c>
      <c r="H106" s="151">
        <v>10</v>
      </c>
      <c r="I106" s="151">
        <v>10</v>
      </c>
      <c r="J106" s="151">
        <v>10</v>
      </c>
      <c r="K106" s="151">
        <v>10</v>
      </c>
      <c r="L106" s="151">
        <v>10</v>
      </c>
      <c r="M106" s="151">
        <v>10</v>
      </c>
      <c r="N106" s="151">
        <v>10</v>
      </c>
      <c r="O106" s="152">
        <v>151.47999999999999</v>
      </c>
      <c r="P106" s="152">
        <v>84</v>
      </c>
      <c r="Q106" s="152">
        <v>0</v>
      </c>
      <c r="R106" s="152"/>
      <c r="S106" s="153"/>
      <c r="T106" s="153"/>
      <c r="U106" s="131" t="s">
        <v>885</v>
      </c>
      <c r="V106" s="8"/>
    </row>
    <row r="107" spans="1:22" hidden="1" x14ac:dyDescent="0.25">
      <c r="A107" s="155" t="s">
        <v>294</v>
      </c>
      <c r="B107" s="156" t="s">
        <v>122</v>
      </c>
      <c r="C107" s="151">
        <v>10</v>
      </c>
      <c r="D107" s="151">
        <v>10</v>
      </c>
      <c r="E107" s="151">
        <v>10</v>
      </c>
      <c r="F107" s="151">
        <v>10</v>
      </c>
      <c r="G107" s="151">
        <v>10</v>
      </c>
      <c r="H107" s="151">
        <v>10</v>
      </c>
      <c r="I107" s="151">
        <v>10</v>
      </c>
      <c r="J107" s="151">
        <v>10</v>
      </c>
      <c r="K107" s="151">
        <v>10</v>
      </c>
      <c r="L107" s="151">
        <v>10</v>
      </c>
      <c r="M107" s="151">
        <v>10</v>
      </c>
      <c r="N107" s="151">
        <v>10</v>
      </c>
      <c r="O107" s="152">
        <v>0</v>
      </c>
      <c r="P107" s="152">
        <v>57</v>
      </c>
      <c r="Q107" s="152">
        <v>0</v>
      </c>
      <c r="R107" s="152"/>
      <c r="S107" s="153"/>
      <c r="T107" s="153"/>
      <c r="U107" s="131" t="s">
        <v>885</v>
      </c>
      <c r="V107" s="8"/>
    </row>
    <row r="108" spans="1:22" hidden="1" x14ac:dyDescent="0.25">
      <c r="A108" s="155" t="s">
        <v>295</v>
      </c>
      <c r="B108" s="156" t="s">
        <v>124</v>
      </c>
      <c r="C108" s="151">
        <v>20</v>
      </c>
      <c r="D108" s="151">
        <v>20</v>
      </c>
      <c r="E108" s="151">
        <v>20</v>
      </c>
      <c r="F108" s="151">
        <v>20</v>
      </c>
      <c r="G108" s="151">
        <v>20</v>
      </c>
      <c r="H108" s="151">
        <v>20</v>
      </c>
      <c r="I108" s="151">
        <v>20</v>
      </c>
      <c r="J108" s="151">
        <v>20</v>
      </c>
      <c r="K108" s="151">
        <v>20</v>
      </c>
      <c r="L108" s="151">
        <v>20</v>
      </c>
      <c r="M108" s="151">
        <v>20</v>
      </c>
      <c r="N108" s="151">
        <v>20</v>
      </c>
      <c r="O108" s="152">
        <v>197</v>
      </c>
      <c r="P108" s="152">
        <v>120</v>
      </c>
      <c r="Q108" s="152">
        <v>0</v>
      </c>
      <c r="R108" s="152"/>
      <c r="S108" s="153"/>
      <c r="T108" s="153"/>
      <c r="U108" s="131" t="s">
        <v>885</v>
      </c>
      <c r="V108" s="8"/>
    </row>
    <row r="109" spans="1:22" hidden="1" x14ac:dyDescent="0.25">
      <c r="A109" s="155" t="s">
        <v>296</v>
      </c>
      <c r="B109" s="156" t="s">
        <v>297</v>
      </c>
      <c r="C109" s="151">
        <v>0</v>
      </c>
      <c r="D109" s="151">
        <v>0</v>
      </c>
      <c r="E109" s="151">
        <v>0</v>
      </c>
      <c r="F109" s="151">
        <v>0</v>
      </c>
      <c r="G109" s="151">
        <v>0</v>
      </c>
      <c r="H109" s="151">
        <v>200</v>
      </c>
      <c r="I109" s="151">
        <v>0</v>
      </c>
      <c r="J109" s="151">
        <v>0</v>
      </c>
      <c r="K109" s="151">
        <v>0</v>
      </c>
      <c r="L109" s="151">
        <v>0</v>
      </c>
      <c r="M109" s="151">
        <v>0</v>
      </c>
      <c r="N109" s="151">
        <v>0</v>
      </c>
      <c r="O109" s="152">
        <v>1000</v>
      </c>
      <c r="P109" s="152">
        <v>0</v>
      </c>
      <c r="Q109" s="152">
        <v>0</v>
      </c>
      <c r="R109" s="152"/>
      <c r="S109" s="153"/>
      <c r="T109" s="153"/>
      <c r="U109" s="131" t="s">
        <v>885</v>
      </c>
      <c r="V109" s="8"/>
    </row>
    <row r="110" spans="1:22" hidden="1" x14ac:dyDescent="0.25">
      <c r="A110" s="155" t="s">
        <v>298</v>
      </c>
      <c r="B110" s="156" t="s">
        <v>134</v>
      </c>
      <c r="C110" s="151">
        <v>0</v>
      </c>
      <c r="D110" s="151">
        <v>0</v>
      </c>
      <c r="E110" s="151">
        <v>150</v>
      </c>
      <c r="F110" s="151">
        <v>0</v>
      </c>
      <c r="G110" s="151">
        <v>0</v>
      </c>
      <c r="H110" s="151">
        <v>0</v>
      </c>
      <c r="I110" s="151">
        <v>0</v>
      </c>
      <c r="J110" s="151">
        <v>0</v>
      </c>
      <c r="K110" s="151">
        <v>0</v>
      </c>
      <c r="L110" s="151">
        <v>0</v>
      </c>
      <c r="M110" s="151">
        <v>0</v>
      </c>
      <c r="N110" s="151">
        <v>0</v>
      </c>
      <c r="O110" s="152">
        <v>0</v>
      </c>
      <c r="P110" s="152">
        <v>60</v>
      </c>
      <c r="Q110" s="152">
        <v>0</v>
      </c>
      <c r="R110" s="152"/>
      <c r="S110" s="153"/>
      <c r="T110" s="153"/>
      <c r="U110" s="172"/>
      <c r="V110" s="8"/>
    </row>
    <row r="111" spans="1:22" hidden="1" x14ac:dyDescent="0.25">
      <c r="A111" s="168" t="s">
        <v>299</v>
      </c>
      <c r="B111" s="173"/>
      <c r="C111" s="169"/>
      <c r="D111" s="169"/>
      <c r="E111" s="169"/>
      <c r="F111" s="169"/>
      <c r="G111" s="169"/>
      <c r="H111" s="169"/>
      <c r="I111" s="169"/>
      <c r="J111" s="169"/>
      <c r="K111" s="169"/>
      <c r="L111" s="169"/>
      <c r="M111" s="169"/>
      <c r="N111" s="169"/>
      <c r="O111" s="174"/>
      <c r="P111" s="174"/>
      <c r="Q111" s="174"/>
      <c r="R111" s="174"/>
      <c r="S111" s="175"/>
      <c r="T111" s="175"/>
      <c r="U111" s="131"/>
      <c r="V111" s="8"/>
    </row>
    <row r="112" spans="1:22" hidden="1" x14ac:dyDescent="0.25">
      <c r="A112" s="155" t="s">
        <v>300</v>
      </c>
      <c r="B112" s="156" t="s">
        <v>301</v>
      </c>
      <c r="C112" s="151">
        <v>0</v>
      </c>
      <c r="D112" s="151">
        <v>0</v>
      </c>
      <c r="E112" s="151">
        <v>0</v>
      </c>
      <c r="F112" s="151">
        <v>0</v>
      </c>
      <c r="G112" s="151">
        <v>0</v>
      </c>
      <c r="H112" s="151">
        <v>0</v>
      </c>
      <c r="I112" s="151">
        <v>0</v>
      </c>
      <c r="J112" s="151">
        <v>0</v>
      </c>
      <c r="K112" s="151">
        <v>0</v>
      </c>
      <c r="L112" s="151">
        <v>0</v>
      </c>
      <c r="M112" s="151">
        <v>0</v>
      </c>
      <c r="N112" s="151">
        <v>0</v>
      </c>
      <c r="O112" s="152">
        <v>290</v>
      </c>
      <c r="P112" s="152">
        <v>0</v>
      </c>
      <c r="Q112" s="152">
        <v>250</v>
      </c>
      <c r="R112" s="152"/>
      <c r="S112" s="153">
        <f>SUM(C112:N112)</f>
        <v>0</v>
      </c>
      <c r="T112" s="153"/>
      <c r="U112" s="131" t="s">
        <v>302</v>
      </c>
      <c r="V112" s="8"/>
    </row>
    <row r="113" spans="1:22" hidden="1" x14ac:dyDescent="0.25">
      <c r="A113" s="155" t="s">
        <v>886</v>
      </c>
      <c r="B113" s="156" t="s">
        <v>124</v>
      </c>
      <c r="C113" s="151"/>
      <c r="D113" s="151"/>
      <c r="E113" s="151"/>
      <c r="F113" s="151"/>
      <c r="G113" s="151"/>
      <c r="H113" s="151"/>
      <c r="I113" s="151"/>
      <c r="J113" s="151"/>
      <c r="K113" s="151"/>
      <c r="L113" s="151"/>
      <c r="M113" s="151"/>
      <c r="N113" s="151"/>
      <c r="O113" s="152"/>
      <c r="P113" s="152">
        <v>72</v>
      </c>
      <c r="Q113" s="152"/>
      <c r="R113" s="152"/>
      <c r="S113" s="153"/>
      <c r="T113" s="153"/>
      <c r="U113" s="131"/>
      <c r="V113" s="8"/>
    </row>
    <row r="114" spans="1:22" hidden="1" x14ac:dyDescent="0.25">
      <c r="A114" s="155" t="s">
        <v>303</v>
      </c>
      <c r="B114" s="156" t="s">
        <v>304</v>
      </c>
      <c r="C114" s="151">
        <v>0</v>
      </c>
      <c r="D114" s="151">
        <v>0</v>
      </c>
      <c r="E114" s="151">
        <v>0</v>
      </c>
      <c r="F114" s="151">
        <v>0</v>
      </c>
      <c r="G114" s="151">
        <v>0</v>
      </c>
      <c r="H114" s="151">
        <v>0</v>
      </c>
      <c r="I114" s="151">
        <v>0</v>
      </c>
      <c r="J114" s="151">
        <v>0</v>
      </c>
      <c r="K114" s="151">
        <v>0</v>
      </c>
      <c r="L114" s="151">
        <v>0</v>
      </c>
      <c r="M114" s="151">
        <v>0</v>
      </c>
      <c r="N114" s="151">
        <v>0</v>
      </c>
      <c r="O114" s="152"/>
      <c r="P114" s="152">
        <v>2070</v>
      </c>
      <c r="Q114" s="152">
        <v>2070</v>
      </c>
      <c r="R114" s="152"/>
      <c r="S114" s="153">
        <f>SUM(C114:N114)</f>
        <v>0</v>
      </c>
      <c r="T114" s="153"/>
      <c r="U114" s="131" t="s">
        <v>302</v>
      </c>
      <c r="V114" s="8"/>
    </row>
    <row r="115" spans="1:22" hidden="1" x14ac:dyDescent="0.25">
      <c r="A115" s="155" t="s">
        <v>305</v>
      </c>
      <c r="B115" s="156" t="s">
        <v>126</v>
      </c>
      <c r="C115" s="151">
        <v>0</v>
      </c>
      <c r="D115" s="151">
        <v>0</v>
      </c>
      <c r="E115" s="151">
        <v>0</v>
      </c>
      <c r="F115" s="151">
        <v>0</v>
      </c>
      <c r="G115" s="151">
        <v>0</v>
      </c>
      <c r="H115" s="151">
        <v>0</v>
      </c>
      <c r="I115" s="151">
        <v>0</v>
      </c>
      <c r="J115" s="151">
        <v>0</v>
      </c>
      <c r="K115" s="151">
        <v>0</v>
      </c>
      <c r="L115" s="151">
        <v>0</v>
      </c>
      <c r="M115" s="151">
        <v>0</v>
      </c>
      <c r="N115" s="151">
        <v>0</v>
      </c>
      <c r="O115" s="152"/>
      <c r="P115" s="152">
        <v>1000</v>
      </c>
      <c r="Q115" s="152">
        <v>0</v>
      </c>
      <c r="R115" s="152"/>
      <c r="S115" s="153">
        <f>SUM(C115:N115)</f>
        <v>0</v>
      </c>
      <c r="T115" s="153"/>
      <c r="U115" s="187"/>
      <c r="V115" s="8"/>
    </row>
    <row r="116" spans="1:22" hidden="1" x14ac:dyDescent="0.25">
      <c r="A116" s="168" t="s">
        <v>104</v>
      </c>
      <c r="B116" s="156"/>
      <c r="C116" s="169"/>
      <c r="D116" s="169"/>
      <c r="E116" s="169"/>
      <c r="F116" s="169"/>
      <c r="G116" s="169"/>
      <c r="H116" s="169"/>
      <c r="I116" s="169"/>
      <c r="J116" s="169"/>
      <c r="K116" s="169"/>
      <c r="L116" s="169"/>
      <c r="M116" s="169"/>
      <c r="N116" s="169"/>
      <c r="O116" s="174"/>
      <c r="P116" s="174"/>
      <c r="Q116" s="174"/>
      <c r="R116" s="174"/>
      <c r="S116" s="175"/>
      <c r="T116" s="175"/>
      <c r="U116" s="188"/>
      <c r="V116" s="8"/>
    </row>
    <row r="117" spans="1:22" hidden="1" x14ac:dyDescent="0.25">
      <c r="A117" s="165" t="s">
        <v>306</v>
      </c>
      <c r="B117" s="156" t="s">
        <v>126</v>
      </c>
      <c r="C117" s="151">
        <v>0</v>
      </c>
      <c r="D117" s="151">
        <v>0</v>
      </c>
      <c r="E117" s="151">
        <v>0</v>
      </c>
      <c r="F117" s="151">
        <v>0</v>
      </c>
      <c r="G117" s="151">
        <v>0</v>
      </c>
      <c r="H117" s="151">
        <v>0</v>
      </c>
      <c r="I117" s="151">
        <v>0</v>
      </c>
      <c r="J117" s="151">
        <v>0</v>
      </c>
      <c r="K117" s="151">
        <v>0</v>
      </c>
      <c r="L117" s="151">
        <v>0</v>
      </c>
      <c r="M117" s="151">
        <v>0</v>
      </c>
      <c r="N117" s="151">
        <v>0</v>
      </c>
      <c r="O117" s="152">
        <v>8226</v>
      </c>
      <c r="P117" s="152">
        <v>0</v>
      </c>
      <c r="Q117" s="152">
        <v>1000</v>
      </c>
      <c r="R117" s="152"/>
      <c r="S117" s="153">
        <v>1200</v>
      </c>
      <c r="T117" s="153"/>
      <c r="U117" s="131" t="s">
        <v>887</v>
      </c>
      <c r="V117" s="8"/>
    </row>
    <row r="118" spans="1:22" hidden="1" x14ac:dyDescent="0.25">
      <c r="A118" s="165" t="s">
        <v>888</v>
      </c>
      <c r="B118" s="156" t="s">
        <v>120</v>
      </c>
      <c r="C118" s="151"/>
      <c r="D118" s="151"/>
      <c r="E118" s="151"/>
      <c r="F118" s="151"/>
      <c r="G118" s="151"/>
      <c r="H118" s="151"/>
      <c r="I118" s="151"/>
      <c r="J118" s="151"/>
      <c r="K118" s="151"/>
      <c r="L118" s="151"/>
      <c r="M118" s="151"/>
      <c r="N118" s="151"/>
      <c r="O118" s="152">
        <v>525.52</v>
      </c>
      <c r="P118" s="152"/>
      <c r="Q118" s="152"/>
      <c r="R118" s="152"/>
      <c r="S118" s="153"/>
      <c r="T118" s="153"/>
      <c r="U118" s="131"/>
      <c r="V118" s="8"/>
    </row>
    <row r="119" spans="1:22" hidden="1" x14ac:dyDescent="0.25">
      <c r="A119" s="165" t="s">
        <v>889</v>
      </c>
      <c r="B119" s="156" t="s">
        <v>226</v>
      </c>
      <c r="C119" s="151"/>
      <c r="D119" s="151"/>
      <c r="E119" s="151"/>
      <c r="F119" s="151"/>
      <c r="G119" s="151"/>
      <c r="H119" s="151"/>
      <c r="I119" s="151"/>
      <c r="J119" s="151"/>
      <c r="K119" s="151"/>
      <c r="L119" s="151"/>
      <c r="M119" s="151"/>
      <c r="N119" s="151"/>
      <c r="O119" s="152">
        <v>59055.28</v>
      </c>
      <c r="P119" s="152"/>
      <c r="Q119" s="152"/>
      <c r="R119" s="152"/>
      <c r="S119" s="153"/>
      <c r="T119" s="153"/>
      <c r="U119" s="131"/>
      <c r="V119" s="8"/>
    </row>
    <row r="120" spans="1:22" hidden="1" x14ac:dyDescent="0.25">
      <c r="A120" s="165" t="s">
        <v>890</v>
      </c>
      <c r="B120" s="156" t="s">
        <v>220</v>
      </c>
      <c r="C120" s="151"/>
      <c r="D120" s="151"/>
      <c r="E120" s="151"/>
      <c r="F120" s="151"/>
      <c r="G120" s="151"/>
      <c r="H120" s="151"/>
      <c r="I120" s="151"/>
      <c r="J120" s="151"/>
      <c r="K120" s="151"/>
      <c r="L120" s="151"/>
      <c r="M120" s="151"/>
      <c r="N120" s="151"/>
      <c r="O120" s="152">
        <v>1900</v>
      </c>
      <c r="P120" s="152"/>
      <c r="Q120" s="152"/>
      <c r="R120" s="152"/>
      <c r="S120" s="153"/>
      <c r="T120" s="153"/>
      <c r="U120" s="131"/>
      <c r="V120" s="8"/>
    </row>
    <row r="121" spans="1:22" hidden="1" x14ac:dyDescent="0.25">
      <c r="A121" s="165" t="s">
        <v>891</v>
      </c>
      <c r="B121" s="156" t="s">
        <v>201</v>
      </c>
      <c r="C121" s="151"/>
      <c r="D121" s="151"/>
      <c r="E121" s="151"/>
      <c r="F121" s="151"/>
      <c r="G121" s="151"/>
      <c r="H121" s="151"/>
      <c r="I121" s="151"/>
      <c r="J121" s="151"/>
      <c r="K121" s="151"/>
      <c r="L121" s="151"/>
      <c r="M121" s="151"/>
      <c r="N121" s="151"/>
      <c r="O121" s="152">
        <v>871.91</v>
      </c>
      <c r="P121" s="152"/>
      <c r="Q121" s="152"/>
      <c r="R121" s="152"/>
      <c r="S121" s="153"/>
      <c r="T121" s="153"/>
      <c r="U121" s="131"/>
      <c r="V121" s="8"/>
    </row>
    <row r="122" spans="1:22" hidden="1" x14ac:dyDescent="0.25">
      <c r="A122" s="165" t="s">
        <v>892</v>
      </c>
      <c r="B122" s="156" t="s">
        <v>893</v>
      </c>
      <c r="C122" s="151"/>
      <c r="D122" s="151"/>
      <c r="E122" s="151"/>
      <c r="F122" s="151"/>
      <c r="G122" s="151"/>
      <c r="H122" s="151"/>
      <c r="I122" s="151"/>
      <c r="J122" s="151"/>
      <c r="K122" s="151"/>
      <c r="L122" s="151"/>
      <c r="M122" s="151"/>
      <c r="N122" s="151"/>
      <c r="O122" s="152">
        <v>15965</v>
      </c>
      <c r="P122" s="152"/>
      <c r="Q122" s="152"/>
      <c r="R122" s="152"/>
      <c r="S122" s="153"/>
      <c r="T122" s="153"/>
      <c r="U122" s="131"/>
      <c r="V122" s="8"/>
    </row>
    <row r="123" spans="1:22" hidden="1" x14ac:dyDescent="0.25">
      <c r="A123" s="168" t="s">
        <v>307</v>
      </c>
      <c r="B123" s="156"/>
      <c r="C123" s="169"/>
      <c r="D123" s="169"/>
      <c r="E123" s="169"/>
      <c r="F123" s="169"/>
      <c r="G123" s="169"/>
      <c r="H123" s="169"/>
      <c r="I123" s="169"/>
      <c r="J123" s="169"/>
      <c r="K123" s="169"/>
      <c r="L123" s="169"/>
      <c r="M123" s="169"/>
      <c r="N123" s="169"/>
      <c r="O123" s="174"/>
      <c r="P123" s="174"/>
      <c r="Q123" s="174"/>
      <c r="R123" s="174"/>
      <c r="S123" s="175"/>
      <c r="T123" s="175"/>
      <c r="U123" s="131"/>
      <c r="V123" s="8"/>
    </row>
    <row r="124" spans="1:22" hidden="1" x14ac:dyDescent="0.25">
      <c r="A124" s="165" t="s">
        <v>308</v>
      </c>
      <c r="B124" s="156" t="s">
        <v>33</v>
      </c>
      <c r="C124" s="151">
        <v>0</v>
      </c>
      <c r="D124" s="151">
        <v>0</v>
      </c>
      <c r="E124" s="151">
        <v>0</v>
      </c>
      <c r="F124" s="151">
        <v>0</v>
      </c>
      <c r="G124" s="151">
        <v>0</v>
      </c>
      <c r="H124" s="151">
        <v>0</v>
      </c>
      <c r="I124" s="151">
        <v>0</v>
      </c>
      <c r="J124" s="151">
        <v>0</v>
      </c>
      <c r="K124" s="151">
        <v>0</v>
      </c>
      <c r="L124" s="151">
        <v>0</v>
      </c>
      <c r="M124" s="151">
        <v>0</v>
      </c>
      <c r="N124" s="151">
        <v>0</v>
      </c>
      <c r="O124" s="152">
        <v>3735</v>
      </c>
      <c r="P124" s="152">
        <v>1900</v>
      </c>
      <c r="Q124" s="152">
        <v>1900</v>
      </c>
      <c r="R124" s="152"/>
      <c r="S124" s="153"/>
      <c r="T124" s="153"/>
      <c r="U124" s="131" t="s">
        <v>894</v>
      </c>
      <c r="V124" s="8"/>
    </row>
    <row r="125" spans="1:22" hidden="1" x14ac:dyDescent="0.25">
      <c r="A125" s="165" t="s">
        <v>309</v>
      </c>
      <c r="B125" s="156" t="s">
        <v>126</v>
      </c>
      <c r="C125" s="151"/>
      <c r="D125" s="151"/>
      <c r="E125" s="151"/>
      <c r="F125" s="151"/>
      <c r="G125" s="151"/>
      <c r="H125" s="151"/>
      <c r="I125" s="151"/>
      <c r="J125" s="151"/>
      <c r="K125" s="151"/>
      <c r="L125" s="151"/>
      <c r="M125" s="151"/>
      <c r="N125" s="151"/>
      <c r="O125" s="152"/>
      <c r="P125" s="152">
        <v>2000</v>
      </c>
      <c r="Q125" s="152"/>
      <c r="R125" s="152"/>
      <c r="S125" s="153"/>
      <c r="T125" s="153"/>
      <c r="U125" s="172"/>
      <c r="V125" s="8"/>
    </row>
    <row r="126" spans="1:22" hidden="1" x14ac:dyDescent="0.25">
      <c r="A126" s="168" t="s">
        <v>310</v>
      </c>
      <c r="B126" s="173"/>
      <c r="C126" s="169"/>
      <c r="D126" s="169"/>
      <c r="E126" s="169"/>
      <c r="F126" s="169"/>
      <c r="G126" s="169"/>
      <c r="H126" s="169"/>
      <c r="I126" s="169"/>
      <c r="J126" s="169"/>
      <c r="K126" s="169"/>
      <c r="L126" s="169"/>
      <c r="M126" s="169"/>
      <c r="N126" s="169"/>
      <c r="O126" s="174"/>
      <c r="P126" s="174"/>
      <c r="Q126" s="174"/>
      <c r="R126" s="174"/>
      <c r="S126" s="175"/>
      <c r="T126" s="175"/>
      <c r="U126" s="131"/>
      <c r="V126" s="8"/>
    </row>
    <row r="127" spans="1:22" hidden="1" x14ac:dyDescent="0.25">
      <c r="A127" s="155" t="s">
        <v>311</v>
      </c>
      <c r="B127" s="156" t="s">
        <v>118</v>
      </c>
      <c r="C127" s="151">
        <v>0</v>
      </c>
      <c r="D127" s="151">
        <v>0</v>
      </c>
      <c r="E127" s="151">
        <v>0</v>
      </c>
      <c r="F127" s="151">
        <v>0</v>
      </c>
      <c r="G127" s="151">
        <v>0</v>
      </c>
      <c r="H127" s="151">
        <v>0</v>
      </c>
      <c r="I127" s="151">
        <v>0</v>
      </c>
      <c r="J127" s="151">
        <v>0</v>
      </c>
      <c r="K127" s="151">
        <v>0</v>
      </c>
      <c r="L127" s="151">
        <v>0</v>
      </c>
      <c r="M127" s="151">
        <v>0</v>
      </c>
      <c r="N127" s="151">
        <v>0</v>
      </c>
      <c r="O127" s="152">
        <v>94</v>
      </c>
      <c r="P127" s="152">
        <v>144</v>
      </c>
      <c r="Q127" s="152">
        <v>144</v>
      </c>
      <c r="R127" s="152"/>
      <c r="S127" s="153">
        <v>150</v>
      </c>
      <c r="T127" s="153"/>
      <c r="U127" s="131"/>
      <c r="V127" s="8"/>
    </row>
    <row r="128" spans="1:22" hidden="1" x14ac:dyDescent="0.25">
      <c r="A128" s="155" t="s">
        <v>312</v>
      </c>
      <c r="B128" s="156" t="s">
        <v>120</v>
      </c>
      <c r="C128" s="151">
        <v>0</v>
      </c>
      <c r="D128" s="151">
        <v>0</v>
      </c>
      <c r="E128" s="151">
        <v>0</v>
      </c>
      <c r="F128" s="151">
        <v>0</v>
      </c>
      <c r="G128" s="151">
        <v>0</v>
      </c>
      <c r="H128" s="151">
        <v>0</v>
      </c>
      <c r="I128" s="151">
        <v>0</v>
      </c>
      <c r="J128" s="151">
        <v>0</v>
      </c>
      <c r="K128" s="151">
        <v>0</v>
      </c>
      <c r="L128" s="151">
        <v>0</v>
      </c>
      <c r="M128" s="151">
        <v>0</v>
      </c>
      <c r="N128" s="151">
        <v>0</v>
      </c>
      <c r="O128" s="152">
        <v>1020</v>
      </c>
      <c r="P128" s="152">
        <v>1320</v>
      </c>
      <c r="Q128" s="152">
        <v>1320</v>
      </c>
      <c r="R128" s="152"/>
      <c r="S128" s="153">
        <v>1320</v>
      </c>
      <c r="T128" s="153"/>
      <c r="U128" s="131"/>
      <c r="V128" s="8"/>
    </row>
    <row r="129" spans="1:22" hidden="1" x14ac:dyDescent="0.25">
      <c r="A129" s="155" t="s">
        <v>313</v>
      </c>
      <c r="B129" s="156" t="s">
        <v>122</v>
      </c>
      <c r="C129" s="151">
        <v>0</v>
      </c>
      <c r="D129" s="151">
        <v>0</v>
      </c>
      <c r="E129" s="151">
        <v>0</v>
      </c>
      <c r="F129" s="151">
        <v>0</v>
      </c>
      <c r="G129" s="151">
        <v>0</v>
      </c>
      <c r="H129" s="151">
        <v>0</v>
      </c>
      <c r="I129" s="151">
        <v>0</v>
      </c>
      <c r="J129" s="151">
        <v>0</v>
      </c>
      <c r="K129" s="151">
        <v>0</v>
      </c>
      <c r="L129" s="151">
        <v>0</v>
      </c>
      <c r="M129" s="151">
        <v>0</v>
      </c>
      <c r="N129" s="151">
        <v>0</v>
      </c>
      <c r="O129" s="152">
        <v>60</v>
      </c>
      <c r="P129" s="152">
        <v>60</v>
      </c>
      <c r="Q129" s="152">
        <v>60</v>
      </c>
      <c r="R129" s="152"/>
      <c r="S129" s="153">
        <v>60</v>
      </c>
      <c r="T129" s="153"/>
      <c r="U129" s="131"/>
      <c r="V129" s="8"/>
    </row>
    <row r="130" spans="1:22" hidden="1" x14ac:dyDescent="0.25">
      <c r="A130" s="155" t="s">
        <v>314</v>
      </c>
      <c r="B130" s="156" t="s">
        <v>124</v>
      </c>
      <c r="C130" s="151">
        <v>0</v>
      </c>
      <c r="D130" s="151">
        <v>0</v>
      </c>
      <c r="E130" s="151">
        <v>0</v>
      </c>
      <c r="F130" s="151">
        <v>0</v>
      </c>
      <c r="G130" s="151">
        <v>0</v>
      </c>
      <c r="H130" s="151">
        <v>0</v>
      </c>
      <c r="I130" s="151">
        <v>0</v>
      </c>
      <c r="J130" s="151">
        <v>0</v>
      </c>
      <c r="K130" s="151">
        <v>0</v>
      </c>
      <c r="L130" s="151">
        <v>0</v>
      </c>
      <c r="M130" s="151">
        <v>0</v>
      </c>
      <c r="N130" s="151">
        <v>0</v>
      </c>
      <c r="O130" s="152">
        <v>338</v>
      </c>
      <c r="P130" s="152">
        <v>480</v>
      </c>
      <c r="Q130" s="152">
        <v>480</v>
      </c>
      <c r="R130" s="152"/>
      <c r="S130" s="153">
        <v>534</v>
      </c>
      <c r="T130" s="153"/>
      <c r="U130" s="131"/>
      <c r="V130" s="8"/>
    </row>
    <row r="131" spans="1:22" hidden="1" x14ac:dyDescent="0.25">
      <c r="A131" s="155" t="s">
        <v>315</v>
      </c>
      <c r="B131" s="156" t="s">
        <v>126</v>
      </c>
      <c r="C131" s="151">
        <v>0</v>
      </c>
      <c r="D131" s="151">
        <v>0</v>
      </c>
      <c r="E131" s="151">
        <v>0</v>
      </c>
      <c r="F131" s="151">
        <v>0</v>
      </c>
      <c r="G131" s="151">
        <v>0</v>
      </c>
      <c r="H131" s="151">
        <v>0</v>
      </c>
      <c r="I131" s="151">
        <v>0</v>
      </c>
      <c r="J131" s="151">
        <v>0</v>
      </c>
      <c r="K131" s="151">
        <v>0</v>
      </c>
      <c r="L131" s="151">
        <v>0</v>
      </c>
      <c r="M131" s="151">
        <v>0</v>
      </c>
      <c r="N131" s="151">
        <v>0</v>
      </c>
      <c r="O131" s="152">
        <v>2364</v>
      </c>
      <c r="P131" s="152">
        <v>1200</v>
      </c>
      <c r="Q131" s="152">
        <v>1200</v>
      </c>
      <c r="R131" s="152"/>
      <c r="S131" s="153">
        <v>2700</v>
      </c>
      <c r="T131" s="153"/>
      <c r="U131" s="131" t="s">
        <v>895</v>
      </c>
      <c r="V131" s="8"/>
    </row>
    <row r="132" spans="1:22" hidden="1" x14ac:dyDescent="0.25">
      <c r="A132" s="155" t="s">
        <v>316</v>
      </c>
      <c r="B132" s="156" t="s">
        <v>317</v>
      </c>
      <c r="C132" s="151">
        <v>0</v>
      </c>
      <c r="D132" s="151">
        <v>0</v>
      </c>
      <c r="E132" s="151">
        <v>0</v>
      </c>
      <c r="F132" s="151">
        <v>0</v>
      </c>
      <c r="G132" s="151">
        <v>0</v>
      </c>
      <c r="H132" s="151">
        <v>0</v>
      </c>
      <c r="I132" s="151">
        <v>0</v>
      </c>
      <c r="J132" s="151">
        <v>0</v>
      </c>
      <c r="K132" s="151">
        <v>0</v>
      </c>
      <c r="L132" s="151">
        <v>0</v>
      </c>
      <c r="M132" s="151">
        <v>0</v>
      </c>
      <c r="N132" s="151">
        <v>0</v>
      </c>
      <c r="O132" s="152">
        <v>0</v>
      </c>
      <c r="P132" s="152">
        <v>1350</v>
      </c>
      <c r="Q132" s="152">
        <v>0</v>
      </c>
      <c r="R132" s="152"/>
      <c r="S132" s="153">
        <v>1250</v>
      </c>
      <c r="T132" s="153"/>
      <c r="U132" s="131"/>
      <c r="V132" s="8"/>
    </row>
    <row r="133" spans="1:22" hidden="1" x14ac:dyDescent="0.25">
      <c r="A133" s="155" t="s">
        <v>318</v>
      </c>
      <c r="B133" s="156" t="s">
        <v>896</v>
      </c>
      <c r="C133" s="151">
        <v>0</v>
      </c>
      <c r="D133" s="151">
        <v>0</v>
      </c>
      <c r="E133" s="151">
        <v>0</v>
      </c>
      <c r="F133" s="151">
        <v>0</v>
      </c>
      <c r="G133" s="151">
        <v>0</v>
      </c>
      <c r="H133" s="151">
        <v>0</v>
      </c>
      <c r="I133" s="151">
        <v>0</v>
      </c>
      <c r="J133" s="151">
        <v>0</v>
      </c>
      <c r="K133" s="151">
        <v>0</v>
      </c>
      <c r="L133" s="151">
        <v>0</v>
      </c>
      <c r="M133" s="151">
        <v>0</v>
      </c>
      <c r="N133" s="151">
        <v>0</v>
      </c>
      <c r="O133" s="152">
        <v>257</v>
      </c>
      <c r="P133" s="152">
        <v>588</v>
      </c>
      <c r="Q133" s="152">
        <v>621</v>
      </c>
      <c r="R133" s="152"/>
      <c r="S133" s="153">
        <v>588</v>
      </c>
      <c r="T133" s="153"/>
      <c r="U133" s="131"/>
      <c r="V133" s="8"/>
    </row>
    <row r="134" spans="1:22" hidden="1" x14ac:dyDescent="0.25">
      <c r="A134" s="155" t="s">
        <v>320</v>
      </c>
      <c r="B134" s="156" t="s">
        <v>321</v>
      </c>
      <c r="C134" s="151">
        <v>0</v>
      </c>
      <c r="D134" s="151">
        <v>0</v>
      </c>
      <c r="E134" s="151">
        <v>0</v>
      </c>
      <c r="F134" s="151">
        <v>0</v>
      </c>
      <c r="G134" s="151">
        <v>0</v>
      </c>
      <c r="H134" s="151">
        <v>0</v>
      </c>
      <c r="I134" s="151">
        <v>0</v>
      </c>
      <c r="J134" s="151">
        <v>0</v>
      </c>
      <c r="K134" s="151">
        <v>0</v>
      </c>
      <c r="L134" s="151">
        <v>0</v>
      </c>
      <c r="M134" s="151">
        <v>0</v>
      </c>
      <c r="N134" s="151">
        <v>0</v>
      </c>
      <c r="O134" s="152">
        <v>0</v>
      </c>
      <c r="P134" s="152">
        <v>200</v>
      </c>
      <c r="Q134" s="152">
        <v>200</v>
      </c>
      <c r="R134" s="152"/>
      <c r="S134" s="153">
        <f>SUM(C134:N134)</f>
        <v>0</v>
      </c>
      <c r="T134" s="153"/>
      <c r="U134" s="131"/>
      <c r="V134" s="8"/>
    </row>
    <row r="135" spans="1:22" hidden="1" x14ac:dyDescent="0.25">
      <c r="A135" s="155" t="s">
        <v>322</v>
      </c>
      <c r="B135" s="156" t="s">
        <v>134</v>
      </c>
      <c r="C135" s="151">
        <v>0</v>
      </c>
      <c r="D135" s="151">
        <v>0</v>
      </c>
      <c r="E135" s="151">
        <v>0</v>
      </c>
      <c r="F135" s="151">
        <v>0</v>
      </c>
      <c r="G135" s="151">
        <v>0</v>
      </c>
      <c r="H135" s="151">
        <v>0</v>
      </c>
      <c r="I135" s="151">
        <v>0</v>
      </c>
      <c r="J135" s="151">
        <v>0</v>
      </c>
      <c r="K135" s="151">
        <v>0</v>
      </c>
      <c r="L135" s="151">
        <v>0</v>
      </c>
      <c r="M135" s="151">
        <v>0</v>
      </c>
      <c r="N135" s="151">
        <v>0</v>
      </c>
      <c r="O135" s="152">
        <v>37</v>
      </c>
      <c r="P135" s="152">
        <v>120</v>
      </c>
      <c r="Q135" s="152">
        <v>120</v>
      </c>
      <c r="R135" s="152"/>
      <c r="S135" s="153">
        <v>370</v>
      </c>
      <c r="T135" s="153"/>
      <c r="U135" s="131"/>
      <c r="V135" s="8"/>
    </row>
    <row r="136" spans="1:22" hidden="1" x14ac:dyDescent="0.25">
      <c r="A136" s="155"/>
      <c r="B136" s="156" t="s">
        <v>323</v>
      </c>
      <c r="C136" s="151"/>
      <c r="D136" s="151"/>
      <c r="E136" s="151"/>
      <c r="F136" s="151"/>
      <c r="G136" s="151"/>
      <c r="H136" s="151"/>
      <c r="I136" s="151"/>
      <c r="J136" s="151"/>
      <c r="K136" s="151"/>
      <c r="L136" s="151"/>
      <c r="M136" s="151"/>
      <c r="N136" s="151"/>
      <c r="O136" s="152">
        <v>0</v>
      </c>
      <c r="P136" s="152">
        <v>0</v>
      </c>
      <c r="Q136" s="152"/>
      <c r="R136" s="152"/>
      <c r="S136" s="153">
        <v>50</v>
      </c>
      <c r="T136" s="153"/>
      <c r="U136" s="131"/>
      <c r="V136" s="8"/>
    </row>
    <row r="137" spans="1:22" hidden="1" x14ac:dyDescent="0.25">
      <c r="A137" s="155"/>
      <c r="B137" s="156" t="s">
        <v>324</v>
      </c>
      <c r="C137" s="151"/>
      <c r="D137" s="151"/>
      <c r="E137" s="151"/>
      <c r="F137" s="151"/>
      <c r="G137" s="151"/>
      <c r="H137" s="151"/>
      <c r="I137" s="151"/>
      <c r="J137" s="151"/>
      <c r="K137" s="151"/>
      <c r="L137" s="151"/>
      <c r="M137" s="151"/>
      <c r="N137" s="151"/>
      <c r="O137" s="152">
        <v>0</v>
      </c>
      <c r="P137" s="152">
        <v>0</v>
      </c>
      <c r="Q137" s="152"/>
      <c r="R137" s="152"/>
      <c r="S137" s="153">
        <v>200</v>
      </c>
      <c r="T137" s="153"/>
      <c r="U137" s="187"/>
      <c r="V137" s="8"/>
    </row>
    <row r="138" spans="1:22" hidden="1" x14ac:dyDescent="0.25">
      <c r="A138" s="155"/>
      <c r="B138" s="189" t="s">
        <v>325</v>
      </c>
      <c r="C138" s="151"/>
      <c r="D138" s="151"/>
      <c r="E138" s="151"/>
      <c r="F138" s="151"/>
      <c r="G138" s="151"/>
      <c r="H138" s="151"/>
      <c r="I138" s="151"/>
      <c r="J138" s="151"/>
      <c r="K138" s="151"/>
      <c r="L138" s="151"/>
      <c r="M138" s="151"/>
      <c r="N138" s="151"/>
      <c r="O138" s="152">
        <v>0</v>
      </c>
      <c r="P138" s="152">
        <v>0</v>
      </c>
      <c r="Q138" s="152"/>
      <c r="R138" s="152"/>
      <c r="S138" s="153">
        <v>640</v>
      </c>
      <c r="T138" s="153"/>
      <c r="U138" s="131" t="s">
        <v>897</v>
      </c>
      <c r="V138" s="8"/>
    </row>
    <row r="139" spans="1:22" hidden="1" x14ac:dyDescent="0.25">
      <c r="A139" s="168" t="s">
        <v>331</v>
      </c>
      <c r="B139" s="173"/>
      <c r="C139" s="169"/>
      <c r="D139" s="169"/>
      <c r="E139" s="169"/>
      <c r="F139" s="169"/>
      <c r="G139" s="169"/>
      <c r="H139" s="169"/>
      <c r="I139" s="169"/>
      <c r="J139" s="169"/>
      <c r="K139" s="169"/>
      <c r="L139" s="169"/>
      <c r="M139" s="169"/>
      <c r="N139" s="169"/>
      <c r="O139" s="174"/>
      <c r="P139" s="174"/>
      <c r="Q139" s="174"/>
      <c r="R139" s="174"/>
      <c r="S139" s="175"/>
      <c r="T139" s="175"/>
      <c r="U139" s="131"/>
      <c r="V139" s="8"/>
    </row>
    <row r="140" spans="1:22" hidden="1" x14ac:dyDescent="0.25">
      <c r="A140" s="155" t="s">
        <v>332</v>
      </c>
      <c r="B140" s="156" t="s">
        <v>120</v>
      </c>
      <c r="C140" s="151">
        <v>2</v>
      </c>
      <c r="D140" s="151">
        <v>2</v>
      </c>
      <c r="E140" s="151">
        <v>2</v>
      </c>
      <c r="F140" s="151">
        <v>2</v>
      </c>
      <c r="G140" s="151">
        <v>2</v>
      </c>
      <c r="H140" s="151">
        <v>2</v>
      </c>
      <c r="I140" s="151">
        <v>2</v>
      </c>
      <c r="J140" s="151">
        <v>2</v>
      </c>
      <c r="K140" s="151">
        <v>2</v>
      </c>
      <c r="L140" s="151">
        <v>2</v>
      </c>
      <c r="M140" s="151">
        <v>2</v>
      </c>
      <c r="N140" s="151">
        <v>2</v>
      </c>
      <c r="O140" s="152">
        <v>0</v>
      </c>
      <c r="P140" s="152">
        <v>37</v>
      </c>
      <c r="Q140" s="152">
        <v>0</v>
      </c>
      <c r="R140" s="152"/>
      <c r="S140" s="153"/>
      <c r="T140" s="153"/>
      <c r="U140" s="131"/>
      <c r="V140" s="8"/>
    </row>
    <row r="141" spans="1:22" hidden="1" x14ac:dyDescent="0.25">
      <c r="A141" s="155" t="s">
        <v>333</v>
      </c>
      <c r="B141" s="156" t="s">
        <v>122</v>
      </c>
      <c r="C141" s="151">
        <v>2</v>
      </c>
      <c r="D141" s="151">
        <v>2</v>
      </c>
      <c r="E141" s="151">
        <v>2</v>
      </c>
      <c r="F141" s="151">
        <v>2</v>
      </c>
      <c r="G141" s="151">
        <v>2</v>
      </c>
      <c r="H141" s="151">
        <v>2</v>
      </c>
      <c r="I141" s="151">
        <v>2</v>
      </c>
      <c r="J141" s="151">
        <v>2</v>
      </c>
      <c r="K141" s="151">
        <v>2</v>
      </c>
      <c r="L141" s="151">
        <v>2</v>
      </c>
      <c r="M141" s="151">
        <v>2</v>
      </c>
      <c r="N141" s="151">
        <v>2</v>
      </c>
      <c r="O141" s="152">
        <v>0</v>
      </c>
      <c r="P141" s="152">
        <v>0</v>
      </c>
      <c r="Q141" s="152">
        <v>0</v>
      </c>
      <c r="R141" s="152"/>
      <c r="S141" s="153"/>
      <c r="T141" s="153"/>
      <c r="U141" s="131"/>
      <c r="V141" s="8"/>
    </row>
    <row r="142" spans="1:22" hidden="1" x14ac:dyDescent="0.25">
      <c r="A142" s="155" t="s">
        <v>334</v>
      </c>
      <c r="B142" s="156" t="s">
        <v>124</v>
      </c>
      <c r="C142" s="151">
        <v>5</v>
      </c>
      <c r="D142" s="151">
        <v>5</v>
      </c>
      <c r="E142" s="151">
        <v>5</v>
      </c>
      <c r="F142" s="151">
        <v>5</v>
      </c>
      <c r="G142" s="151">
        <v>5</v>
      </c>
      <c r="H142" s="151">
        <v>5</v>
      </c>
      <c r="I142" s="151">
        <v>5</v>
      </c>
      <c r="J142" s="151">
        <v>5</v>
      </c>
      <c r="K142" s="151">
        <v>5</v>
      </c>
      <c r="L142" s="151">
        <v>5</v>
      </c>
      <c r="M142" s="151">
        <v>5</v>
      </c>
      <c r="N142" s="151">
        <v>5</v>
      </c>
      <c r="O142" s="152">
        <v>0</v>
      </c>
      <c r="P142" s="152">
        <v>40</v>
      </c>
      <c r="Q142" s="152">
        <v>0</v>
      </c>
      <c r="R142" s="152"/>
      <c r="S142" s="153"/>
      <c r="T142" s="153"/>
      <c r="U142" s="172"/>
    </row>
    <row r="143" spans="1:22" hidden="1" x14ac:dyDescent="0.25">
      <c r="A143" s="155" t="s">
        <v>335</v>
      </c>
      <c r="B143" s="156" t="s">
        <v>126</v>
      </c>
      <c r="C143" s="151">
        <v>0</v>
      </c>
      <c r="D143" s="151">
        <v>0</v>
      </c>
      <c r="E143" s="151">
        <v>0</v>
      </c>
      <c r="F143" s="151">
        <v>0</v>
      </c>
      <c r="G143" s="151">
        <v>0</v>
      </c>
      <c r="H143" s="151">
        <v>0</v>
      </c>
      <c r="I143" s="151">
        <v>0</v>
      </c>
      <c r="J143" s="151">
        <v>0</v>
      </c>
      <c r="K143" s="151">
        <v>1400</v>
      </c>
      <c r="L143" s="151">
        <v>0</v>
      </c>
      <c r="M143" s="151">
        <v>0</v>
      </c>
      <c r="N143" s="151">
        <v>0</v>
      </c>
      <c r="O143" s="152">
        <v>875</v>
      </c>
      <c r="P143" s="152">
        <v>1400</v>
      </c>
      <c r="Q143" s="152">
        <v>1400</v>
      </c>
      <c r="R143" s="152"/>
      <c r="S143" s="153">
        <f>SUM(C143:N143)</f>
        <v>1400</v>
      </c>
      <c r="T143" s="153"/>
      <c r="U143" s="131" t="s">
        <v>898</v>
      </c>
    </row>
    <row r="144" spans="1:22" hidden="1" x14ac:dyDescent="0.25">
      <c r="A144" s="190" t="s">
        <v>326</v>
      </c>
      <c r="B144" s="156"/>
      <c r="C144" s="151"/>
      <c r="D144" s="151"/>
      <c r="E144" s="151"/>
      <c r="F144" s="151"/>
      <c r="G144" s="151"/>
      <c r="H144" s="151"/>
      <c r="I144" s="151"/>
      <c r="J144" s="151"/>
      <c r="K144" s="151"/>
      <c r="L144" s="151"/>
      <c r="M144" s="151"/>
      <c r="N144" s="151"/>
      <c r="O144" s="152"/>
      <c r="P144" s="152"/>
      <c r="Q144" s="152"/>
      <c r="R144" s="152"/>
      <c r="S144" s="153"/>
      <c r="T144" s="153"/>
      <c r="U144" s="131"/>
    </row>
    <row r="145" spans="1:23" hidden="1" x14ac:dyDescent="0.25">
      <c r="A145" s="191" t="s">
        <v>327</v>
      </c>
      <c r="B145" s="156" t="s">
        <v>326</v>
      </c>
      <c r="C145" s="151"/>
      <c r="D145" s="151"/>
      <c r="E145" s="151"/>
      <c r="F145" s="151"/>
      <c r="G145" s="151"/>
      <c r="H145" s="151"/>
      <c r="I145" s="151"/>
      <c r="J145" s="151"/>
      <c r="K145" s="151"/>
      <c r="L145" s="151"/>
      <c r="M145" s="151"/>
      <c r="N145" s="151"/>
      <c r="O145" s="152">
        <v>91340</v>
      </c>
      <c r="P145" s="152">
        <v>0</v>
      </c>
      <c r="Q145" s="152">
        <v>0</v>
      </c>
      <c r="R145" s="152"/>
      <c r="S145" s="153">
        <v>0</v>
      </c>
      <c r="T145" s="153"/>
      <c r="U145" s="131"/>
    </row>
    <row r="146" spans="1:23" hidden="1" x14ac:dyDescent="0.25">
      <c r="A146" s="168" t="s">
        <v>338</v>
      </c>
      <c r="B146" s="173"/>
      <c r="C146" s="169"/>
      <c r="D146" s="169"/>
      <c r="E146" s="169"/>
      <c r="F146" s="169"/>
      <c r="G146" s="169"/>
      <c r="H146" s="169"/>
      <c r="I146" s="169"/>
      <c r="J146" s="169"/>
      <c r="K146" s="169"/>
      <c r="L146" s="169"/>
      <c r="M146" s="169"/>
      <c r="N146" s="169"/>
      <c r="O146" s="174"/>
      <c r="P146" s="174"/>
      <c r="Q146" s="174"/>
      <c r="R146" s="174"/>
      <c r="S146" s="175"/>
      <c r="T146" s="175"/>
      <c r="U146" s="131"/>
    </row>
    <row r="147" spans="1:23" hidden="1" x14ac:dyDescent="0.25">
      <c r="A147" s="155" t="s">
        <v>339</v>
      </c>
      <c r="B147" s="156" t="s">
        <v>118</v>
      </c>
      <c r="C147" s="151">
        <v>25</v>
      </c>
      <c r="D147" s="151">
        <v>25</v>
      </c>
      <c r="E147" s="151">
        <v>25</v>
      </c>
      <c r="F147" s="151">
        <v>25</v>
      </c>
      <c r="G147" s="151">
        <v>25</v>
      </c>
      <c r="H147" s="151">
        <v>25</v>
      </c>
      <c r="I147" s="151">
        <v>25</v>
      </c>
      <c r="J147" s="151">
        <v>25</v>
      </c>
      <c r="K147" s="151">
        <v>25</v>
      </c>
      <c r="L147" s="151">
        <v>25</v>
      </c>
      <c r="M147" s="151">
        <v>25</v>
      </c>
      <c r="N147" s="151">
        <v>25</v>
      </c>
      <c r="O147" s="152">
        <v>0</v>
      </c>
      <c r="P147" s="152">
        <v>290</v>
      </c>
      <c r="Q147" s="152">
        <v>150</v>
      </c>
      <c r="R147" s="152"/>
      <c r="S147" s="153"/>
      <c r="T147" s="153"/>
      <c r="U147" s="131" t="s">
        <v>899</v>
      </c>
    </row>
    <row r="148" spans="1:23" hidden="1" x14ac:dyDescent="0.25">
      <c r="A148" s="155" t="s">
        <v>340</v>
      </c>
      <c r="B148" s="156" t="s">
        <v>120</v>
      </c>
      <c r="C148" s="151">
        <v>15</v>
      </c>
      <c r="D148" s="151">
        <v>15</v>
      </c>
      <c r="E148" s="151">
        <v>15</v>
      </c>
      <c r="F148" s="151">
        <v>15</v>
      </c>
      <c r="G148" s="151">
        <v>15</v>
      </c>
      <c r="H148" s="151">
        <v>15</v>
      </c>
      <c r="I148" s="151">
        <v>15</v>
      </c>
      <c r="J148" s="151">
        <v>15</v>
      </c>
      <c r="K148" s="151">
        <v>15</v>
      </c>
      <c r="L148" s="151">
        <v>15</v>
      </c>
      <c r="M148" s="151">
        <v>15</v>
      </c>
      <c r="N148" s="151">
        <v>15</v>
      </c>
      <c r="O148" s="152">
        <v>0</v>
      </c>
      <c r="P148" s="152">
        <v>50</v>
      </c>
      <c r="Q148" s="152">
        <v>50</v>
      </c>
      <c r="R148" s="152"/>
      <c r="S148" s="153"/>
      <c r="T148" s="153"/>
      <c r="U148" s="131" t="s">
        <v>899</v>
      </c>
    </row>
    <row r="149" spans="1:23" hidden="1" x14ac:dyDescent="0.25">
      <c r="A149" s="155" t="s">
        <v>341</v>
      </c>
      <c r="B149" s="156" t="s">
        <v>122</v>
      </c>
      <c r="C149" s="151">
        <v>0</v>
      </c>
      <c r="D149" s="151">
        <v>0</v>
      </c>
      <c r="E149" s="151">
        <v>0</v>
      </c>
      <c r="F149" s="151">
        <v>0</v>
      </c>
      <c r="G149" s="151">
        <v>0</v>
      </c>
      <c r="H149" s="151">
        <v>0</v>
      </c>
      <c r="I149" s="151">
        <v>0</v>
      </c>
      <c r="J149" s="151">
        <v>50</v>
      </c>
      <c r="K149" s="151">
        <v>75</v>
      </c>
      <c r="L149" s="151">
        <v>75</v>
      </c>
      <c r="M149" s="151">
        <v>50</v>
      </c>
      <c r="N149" s="151">
        <v>75</v>
      </c>
      <c r="O149" s="152">
        <v>0</v>
      </c>
      <c r="P149" s="152">
        <v>360</v>
      </c>
      <c r="Q149" s="152">
        <v>200</v>
      </c>
      <c r="R149" s="152"/>
      <c r="S149" s="153"/>
      <c r="T149" s="153"/>
      <c r="U149" s="131" t="s">
        <v>899</v>
      </c>
    </row>
    <row r="150" spans="1:23" hidden="1" x14ac:dyDescent="0.25">
      <c r="A150" s="155" t="s">
        <v>342</v>
      </c>
      <c r="B150" s="156" t="s">
        <v>126</v>
      </c>
      <c r="C150" s="151">
        <v>1000</v>
      </c>
      <c r="D150" s="151">
        <v>0</v>
      </c>
      <c r="E150" s="151">
        <v>0</v>
      </c>
      <c r="F150" s="151">
        <v>0</v>
      </c>
      <c r="G150" s="151">
        <v>1000</v>
      </c>
      <c r="H150" s="151">
        <v>0</v>
      </c>
      <c r="I150" s="151">
        <v>0</v>
      </c>
      <c r="J150" s="151">
        <v>1000</v>
      </c>
      <c r="K150" s="151">
        <v>2000</v>
      </c>
      <c r="L150" s="151">
        <v>3000</v>
      </c>
      <c r="M150" s="151">
        <v>0</v>
      </c>
      <c r="N150" s="151">
        <v>3000</v>
      </c>
      <c r="O150" s="152">
        <v>7363</v>
      </c>
      <c r="P150" s="152">
        <v>9250</v>
      </c>
      <c r="Q150" s="152">
        <v>9250</v>
      </c>
      <c r="R150" s="152"/>
      <c r="S150" s="153">
        <f>SUM(C150:N150)</f>
        <v>11000</v>
      </c>
      <c r="T150" s="153"/>
      <c r="U150" s="131"/>
    </row>
    <row r="151" spans="1:23" hidden="1" x14ac:dyDescent="0.25">
      <c r="A151" s="155" t="s">
        <v>343</v>
      </c>
      <c r="B151" s="156" t="s">
        <v>344</v>
      </c>
      <c r="C151" s="151">
        <v>1000</v>
      </c>
      <c r="D151" s="151">
        <v>0</v>
      </c>
      <c r="E151" s="151">
        <v>0</v>
      </c>
      <c r="F151" s="151">
        <v>0</v>
      </c>
      <c r="G151" s="151">
        <v>1000</v>
      </c>
      <c r="H151" s="151">
        <v>0</v>
      </c>
      <c r="I151" s="151">
        <v>0</v>
      </c>
      <c r="J151" s="151">
        <v>2000</v>
      </c>
      <c r="K151" s="151">
        <v>3000</v>
      </c>
      <c r="L151" s="151">
        <v>5000</v>
      </c>
      <c r="M151" s="151">
        <v>0</v>
      </c>
      <c r="N151" s="151">
        <v>6000</v>
      </c>
      <c r="O151" s="152">
        <v>8593</v>
      </c>
      <c r="P151" s="152">
        <v>16000</v>
      </c>
      <c r="Q151" s="152">
        <v>14000</v>
      </c>
      <c r="R151" s="152"/>
      <c r="S151" s="153">
        <f>SUM(C151:N151)</f>
        <v>18000</v>
      </c>
      <c r="T151" s="153"/>
      <c r="U151" s="131"/>
    </row>
    <row r="152" spans="1:23" hidden="1" x14ac:dyDescent="0.25">
      <c r="A152" s="155" t="s">
        <v>345</v>
      </c>
      <c r="B152" s="156" t="s">
        <v>346</v>
      </c>
      <c r="C152" s="151">
        <v>1500</v>
      </c>
      <c r="D152" s="151">
        <v>0</v>
      </c>
      <c r="E152" s="151">
        <v>0</v>
      </c>
      <c r="F152" s="151">
        <v>0</v>
      </c>
      <c r="G152" s="151">
        <v>1500</v>
      </c>
      <c r="H152" s="151">
        <v>0</v>
      </c>
      <c r="I152" s="151">
        <v>0</v>
      </c>
      <c r="J152" s="151">
        <v>1000</v>
      </c>
      <c r="K152" s="151">
        <v>1900</v>
      </c>
      <c r="L152" s="151">
        <v>2200</v>
      </c>
      <c r="M152" s="151">
        <v>0</v>
      </c>
      <c r="N152" s="151">
        <v>1800</v>
      </c>
      <c r="O152" s="152">
        <v>5038</v>
      </c>
      <c r="P152" s="152">
        <v>7150</v>
      </c>
      <c r="Q152" s="152">
        <v>8600</v>
      </c>
      <c r="R152" s="152"/>
      <c r="S152" s="153">
        <f>SUM(C152:N152)</f>
        <v>9900</v>
      </c>
      <c r="T152" s="153"/>
      <c r="U152" s="131"/>
    </row>
    <row r="153" spans="1:23" hidden="1" x14ac:dyDescent="0.25">
      <c r="A153" s="155" t="s">
        <v>347</v>
      </c>
      <c r="B153" s="156" t="s">
        <v>203</v>
      </c>
      <c r="C153" s="151">
        <v>50</v>
      </c>
      <c r="D153" s="151">
        <v>0</v>
      </c>
      <c r="E153" s="151">
        <v>0</v>
      </c>
      <c r="F153" s="151">
        <v>0</v>
      </c>
      <c r="G153" s="151">
        <v>50</v>
      </c>
      <c r="H153" s="151">
        <v>0</v>
      </c>
      <c r="I153" s="151">
        <v>0</v>
      </c>
      <c r="J153" s="151">
        <v>50</v>
      </c>
      <c r="K153" s="151">
        <v>100</v>
      </c>
      <c r="L153" s="151">
        <v>150</v>
      </c>
      <c r="M153" s="151">
        <v>0</v>
      </c>
      <c r="N153" s="151">
        <v>150</v>
      </c>
      <c r="O153" s="152">
        <v>447</v>
      </c>
      <c r="P153" s="152">
        <v>450</v>
      </c>
      <c r="Q153" s="152">
        <v>450</v>
      </c>
      <c r="R153" s="152"/>
      <c r="S153" s="153">
        <f>SUM(C153:N153)</f>
        <v>550</v>
      </c>
      <c r="T153" s="153"/>
      <c r="U153" s="131"/>
      <c r="V153" s="181"/>
      <c r="W153" s="25"/>
    </row>
    <row r="154" spans="1:23" hidden="1" x14ac:dyDescent="0.25">
      <c r="A154" s="155" t="s">
        <v>348</v>
      </c>
      <c r="B154" s="156" t="s">
        <v>349</v>
      </c>
      <c r="C154" s="151">
        <v>150</v>
      </c>
      <c r="D154" s="151">
        <v>0</v>
      </c>
      <c r="E154" s="151">
        <v>0</v>
      </c>
      <c r="F154" s="151">
        <v>0</v>
      </c>
      <c r="G154" s="151">
        <v>150</v>
      </c>
      <c r="H154" s="151">
        <v>0</v>
      </c>
      <c r="I154" s="151">
        <v>0</v>
      </c>
      <c r="J154" s="151">
        <v>150</v>
      </c>
      <c r="K154" s="151">
        <v>800</v>
      </c>
      <c r="L154" s="151">
        <v>1350</v>
      </c>
      <c r="M154" s="151">
        <v>0</v>
      </c>
      <c r="N154" s="151">
        <v>950</v>
      </c>
      <c r="O154" s="152">
        <v>1501</v>
      </c>
      <c r="P154" s="152">
        <v>3750</v>
      </c>
      <c r="Q154" s="152">
        <v>3750</v>
      </c>
      <c r="R154" s="152"/>
      <c r="S154" s="153">
        <f>SUM(C154:N154)</f>
        <v>3550</v>
      </c>
      <c r="T154" s="153"/>
      <c r="U154" s="187">
        <f>SUM(P147:P154)</f>
        <v>37300</v>
      </c>
      <c r="V154" s="181"/>
      <c r="W154" s="25"/>
    </row>
    <row r="155" spans="1:23" hidden="1" x14ac:dyDescent="0.25">
      <c r="A155" s="165"/>
      <c r="B155" s="166"/>
      <c r="C155" s="167"/>
      <c r="D155" s="167"/>
      <c r="E155" s="167"/>
      <c r="F155" s="167"/>
      <c r="G155" s="167"/>
      <c r="H155" s="167"/>
      <c r="I155" s="167"/>
      <c r="J155" s="167"/>
      <c r="K155" s="167"/>
      <c r="L155" s="167"/>
      <c r="M155" s="167"/>
      <c r="N155" s="167"/>
      <c r="O155" s="152"/>
      <c r="P155" s="152"/>
      <c r="Q155" s="152"/>
      <c r="R155" s="152"/>
      <c r="S155" s="153"/>
      <c r="T155" s="153"/>
      <c r="U155" s="131"/>
      <c r="V155" s="181"/>
      <c r="W155" s="25"/>
    </row>
    <row r="156" spans="1:23" hidden="1" x14ac:dyDescent="0.25">
      <c r="A156" s="168" t="s">
        <v>85</v>
      </c>
      <c r="B156" s="173"/>
      <c r="C156" s="169"/>
      <c r="D156" s="169"/>
      <c r="E156" s="169"/>
      <c r="F156" s="169"/>
      <c r="G156" s="169"/>
      <c r="H156" s="169"/>
      <c r="I156" s="169"/>
      <c r="J156" s="169"/>
      <c r="K156" s="169"/>
      <c r="L156" s="169"/>
      <c r="M156" s="169"/>
      <c r="N156" s="169"/>
      <c r="O156" s="174"/>
      <c r="P156" s="174"/>
      <c r="Q156" s="174"/>
      <c r="R156" s="174"/>
      <c r="S156" s="175"/>
      <c r="T156" s="175"/>
      <c r="U156" s="131"/>
      <c r="V156" s="181"/>
      <c r="W156" s="25"/>
    </row>
    <row r="157" spans="1:23" hidden="1" x14ac:dyDescent="0.25">
      <c r="A157" s="155" t="s">
        <v>87</v>
      </c>
      <c r="B157" s="156" t="s">
        <v>350</v>
      </c>
      <c r="C157" s="151">
        <v>0</v>
      </c>
      <c r="D157" s="151">
        <v>0</v>
      </c>
      <c r="E157" s="151">
        <v>0</v>
      </c>
      <c r="F157" s="151">
        <v>0</v>
      </c>
      <c r="G157" s="151">
        <v>0</v>
      </c>
      <c r="H157" s="151">
        <v>0</v>
      </c>
      <c r="I157" s="151">
        <v>0</v>
      </c>
      <c r="J157" s="151">
        <v>0</v>
      </c>
      <c r="K157" s="151">
        <v>0</v>
      </c>
      <c r="L157" s="151">
        <v>0</v>
      </c>
      <c r="M157" s="151">
        <v>0</v>
      </c>
      <c r="N157" s="151">
        <v>0</v>
      </c>
      <c r="O157" s="152">
        <v>7000</v>
      </c>
      <c r="P157" s="152">
        <v>0</v>
      </c>
      <c r="Q157" s="152">
        <v>5000</v>
      </c>
      <c r="R157" s="152"/>
      <c r="S157" s="153">
        <v>5000</v>
      </c>
      <c r="T157" s="153"/>
      <c r="U157" s="131" t="s">
        <v>900</v>
      </c>
    </row>
    <row r="158" spans="1:23" hidden="1" x14ac:dyDescent="0.25">
      <c r="A158" s="155" t="s">
        <v>351</v>
      </c>
      <c r="B158" s="156" t="s">
        <v>120</v>
      </c>
      <c r="C158" s="176">
        <v>0</v>
      </c>
      <c r="D158" s="176">
        <v>0</v>
      </c>
      <c r="E158" s="176">
        <v>0</v>
      </c>
      <c r="F158" s="176">
        <v>0</v>
      </c>
      <c r="G158" s="176">
        <v>0</v>
      </c>
      <c r="H158" s="176">
        <v>0</v>
      </c>
      <c r="I158" s="176">
        <v>0</v>
      </c>
      <c r="J158" s="176">
        <v>0</v>
      </c>
      <c r="K158" s="176">
        <v>0</v>
      </c>
      <c r="L158" s="176">
        <v>0</v>
      </c>
      <c r="M158" s="176">
        <v>0</v>
      </c>
      <c r="N158" s="176">
        <v>0</v>
      </c>
      <c r="O158" s="152">
        <v>0</v>
      </c>
      <c r="P158" s="152">
        <v>60</v>
      </c>
      <c r="Q158" s="152">
        <v>0</v>
      </c>
      <c r="R158" s="152"/>
      <c r="S158" s="153">
        <f>SUM(C158:N158)</f>
        <v>0</v>
      </c>
      <c r="T158" s="153"/>
      <c r="U158" s="180"/>
      <c r="V158" s="181"/>
      <c r="W158" s="25"/>
    </row>
    <row r="159" spans="1:23" hidden="1" x14ac:dyDescent="0.25">
      <c r="A159" s="155" t="s">
        <v>352</v>
      </c>
      <c r="B159" s="156" t="s">
        <v>122</v>
      </c>
      <c r="C159" s="176">
        <v>0</v>
      </c>
      <c r="D159" s="176">
        <v>0</v>
      </c>
      <c r="E159" s="176">
        <v>0</v>
      </c>
      <c r="F159" s="176">
        <v>0</v>
      </c>
      <c r="G159" s="176">
        <v>0</v>
      </c>
      <c r="H159" s="176">
        <v>0</v>
      </c>
      <c r="I159" s="176">
        <v>0</v>
      </c>
      <c r="J159" s="176">
        <v>0</v>
      </c>
      <c r="K159" s="176">
        <v>0</v>
      </c>
      <c r="L159" s="176">
        <v>0</v>
      </c>
      <c r="M159" s="176">
        <v>0</v>
      </c>
      <c r="N159" s="176">
        <v>0</v>
      </c>
      <c r="O159" s="152">
        <v>0</v>
      </c>
      <c r="P159" s="152">
        <v>60</v>
      </c>
      <c r="Q159" s="152">
        <v>0</v>
      </c>
      <c r="R159" s="152"/>
      <c r="S159" s="153">
        <f>SUM(C159:N159)</f>
        <v>0</v>
      </c>
      <c r="T159" s="153"/>
      <c r="U159" s="180"/>
      <c r="V159" s="181"/>
      <c r="W159" s="25"/>
    </row>
    <row r="160" spans="1:23" hidden="1" x14ac:dyDescent="0.25">
      <c r="A160" s="155" t="s">
        <v>353</v>
      </c>
      <c r="B160" s="156" t="s">
        <v>124</v>
      </c>
      <c r="C160" s="176">
        <v>0</v>
      </c>
      <c r="D160" s="176">
        <v>0</v>
      </c>
      <c r="E160" s="176">
        <v>0</v>
      </c>
      <c r="F160" s="176">
        <v>0</v>
      </c>
      <c r="G160" s="176">
        <v>0</v>
      </c>
      <c r="H160" s="176">
        <v>0</v>
      </c>
      <c r="I160" s="176">
        <v>0</v>
      </c>
      <c r="J160" s="176">
        <v>0</v>
      </c>
      <c r="K160" s="176">
        <v>0</v>
      </c>
      <c r="L160" s="176">
        <v>0</v>
      </c>
      <c r="M160" s="176">
        <v>0</v>
      </c>
      <c r="N160" s="176">
        <v>0</v>
      </c>
      <c r="O160" s="152">
        <v>0</v>
      </c>
      <c r="P160" s="152">
        <v>60</v>
      </c>
      <c r="Q160" s="152">
        <v>0</v>
      </c>
      <c r="R160" s="152"/>
      <c r="S160" s="153">
        <f>SUM(C160:N160)</f>
        <v>0</v>
      </c>
      <c r="T160" s="153"/>
      <c r="U160" s="180"/>
      <c r="V160" s="181"/>
      <c r="W160" s="25"/>
    </row>
    <row r="161" spans="1:21" hidden="1" x14ac:dyDescent="0.25">
      <c r="A161" s="155" t="s">
        <v>354</v>
      </c>
      <c r="B161" s="156" t="s">
        <v>126</v>
      </c>
      <c r="C161" s="176">
        <v>0</v>
      </c>
      <c r="D161" s="176">
        <v>0</v>
      </c>
      <c r="E161" s="176">
        <v>0</v>
      </c>
      <c r="F161" s="176">
        <v>0</v>
      </c>
      <c r="G161" s="176">
        <v>0</v>
      </c>
      <c r="H161" s="176">
        <v>0</v>
      </c>
      <c r="I161" s="176">
        <v>0</v>
      </c>
      <c r="J161" s="176">
        <v>0</v>
      </c>
      <c r="K161" s="176">
        <v>0</v>
      </c>
      <c r="L161" s="176">
        <v>0</v>
      </c>
      <c r="M161" s="176">
        <v>0</v>
      </c>
      <c r="N161" s="176">
        <v>0</v>
      </c>
      <c r="O161" s="152">
        <v>3825</v>
      </c>
      <c r="P161" s="152">
        <v>4000</v>
      </c>
      <c r="Q161" s="152">
        <v>3000</v>
      </c>
      <c r="R161" s="152"/>
      <c r="S161" s="153">
        <v>1500</v>
      </c>
      <c r="T161" s="153"/>
      <c r="U161" s="180"/>
    </row>
    <row r="162" spans="1:21" hidden="1" x14ac:dyDescent="0.25">
      <c r="A162" s="155" t="s">
        <v>355</v>
      </c>
      <c r="B162" s="156" t="s">
        <v>356</v>
      </c>
      <c r="C162" s="176">
        <v>0</v>
      </c>
      <c r="D162" s="176">
        <v>0</v>
      </c>
      <c r="E162" s="176">
        <v>0</v>
      </c>
      <c r="F162" s="176">
        <v>0</v>
      </c>
      <c r="G162" s="176">
        <v>0</v>
      </c>
      <c r="H162" s="176">
        <v>0</v>
      </c>
      <c r="I162" s="176">
        <v>0</v>
      </c>
      <c r="J162" s="176">
        <v>0</v>
      </c>
      <c r="K162" s="176">
        <v>0</v>
      </c>
      <c r="L162" s="176">
        <v>0</v>
      </c>
      <c r="M162" s="176">
        <v>0</v>
      </c>
      <c r="N162" s="176">
        <v>0</v>
      </c>
      <c r="O162" s="152">
        <v>4959</v>
      </c>
      <c r="P162" s="152">
        <v>5500</v>
      </c>
      <c r="Q162" s="152">
        <v>5500</v>
      </c>
      <c r="R162" s="152"/>
      <c r="S162" s="153">
        <v>5000</v>
      </c>
      <c r="T162" s="153"/>
      <c r="U162" s="180"/>
    </row>
    <row r="163" spans="1:21" hidden="1" x14ac:dyDescent="0.25">
      <c r="A163" s="155" t="s">
        <v>357</v>
      </c>
      <c r="B163" s="156" t="s">
        <v>901</v>
      </c>
      <c r="C163" s="176">
        <v>0</v>
      </c>
      <c r="D163" s="176">
        <v>0</v>
      </c>
      <c r="E163" s="176">
        <v>0</v>
      </c>
      <c r="F163" s="176">
        <v>0</v>
      </c>
      <c r="G163" s="176">
        <v>0</v>
      </c>
      <c r="H163" s="176">
        <v>0</v>
      </c>
      <c r="I163" s="176">
        <v>0</v>
      </c>
      <c r="J163" s="176">
        <v>0</v>
      </c>
      <c r="K163" s="176">
        <v>0</v>
      </c>
      <c r="L163" s="176">
        <v>0</v>
      </c>
      <c r="M163" s="176">
        <v>0</v>
      </c>
      <c r="N163" s="176">
        <v>0</v>
      </c>
      <c r="O163" s="152">
        <v>14162</v>
      </c>
      <c r="P163" s="152">
        <v>8000</v>
      </c>
      <c r="Q163" s="152">
        <v>8994</v>
      </c>
      <c r="R163" s="152"/>
      <c r="S163" s="153">
        <v>9500</v>
      </c>
      <c r="T163" s="153"/>
      <c r="U163" s="180"/>
    </row>
    <row r="164" spans="1:21" hidden="1" x14ac:dyDescent="0.25">
      <c r="A164" s="155" t="s">
        <v>358</v>
      </c>
      <c r="B164" s="156" t="s">
        <v>359</v>
      </c>
      <c r="C164" s="176">
        <v>0</v>
      </c>
      <c r="D164" s="176">
        <v>0</v>
      </c>
      <c r="E164" s="176">
        <v>0</v>
      </c>
      <c r="F164" s="176">
        <v>0</v>
      </c>
      <c r="G164" s="176">
        <v>0</v>
      </c>
      <c r="H164" s="176">
        <v>0</v>
      </c>
      <c r="I164" s="176">
        <v>0</v>
      </c>
      <c r="J164" s="176">
        <v>0</v>
      </c>
      <c r="K164" s="176">
        <v>0</v>
      </c>
      <c r="L164" s="176">
        <v>0</v>
      </c>
      <c r="M164" s="176">
        <v>0</v>
      </c>
      <c r="N164" s="176">
        <v>0</v>
      </c>
      <c r="O164" s="152">
        <v>20000</v>
      </c>
      <c r="P164" s="152">
        <v>20000</v>
      </c>
      <c r="Q164" s="152">
        <v>20000</v>
      </c>
      <c r="R164" s="152"/>
      <c r="S164" s="153">
        <v>20000</v>
      </c>
      <c r="T164" s="153"/>
      <c r="U164" s="180"/>
    </row>
    <row r="165" spans="1:21" hidden="1" x14ac:dyDescent="0.25">
      <c r="A165" s="155" t="s">
        <v>360</v>
      </c>
      <c r="B165" s="156" t="s">
        <v>344</v>
      </c>
      <c r="C165" s="176">
        <v>0</v>
      </c>
      <c r="D165" s="176">
        <v>0</v>
      </c>
      <c r="E165" s="176">
        <v>0</v>
      </c>
      <c r="F165" s="176">
        <v>0</v>
      </c>
      <c r="G165" s="176">
        <v>0</v>
      </c>
      <c r="H165" s="176">
        <v>0</v>
      </c>
      <c r="I165" s="176">
        <v>0</v>
      </c>
      <c r="J165" s="176">
        <v>0</v>
      </c>
      <c r="K165" s="176">
        <v>0</v>
      </c>
      <c r="L165" s="176">
        <v>0</v>
      </c>
      <c r="M165" s="176">
        <v>0</v>
      </c>
      <c r="N165" s="176">
        <v>0</v>
      </c>
      <c r="O165" s="152">
        <v>9210</v>
      </c>
      <c r="P165" s="152">
        <v>10000</v>
      </c>
      <c r="Q165" s="152">
        <v>8233</v>
      </c>
      <c r="R165" s="152"/>
      <c r="S165" s="153">
        <v>9800</v>
      </c>
      <c r="T165" s="153"/>
      <c r="U165" s="180"/>
    </row>
    <row r="166" spans="1:21" hidden="1" x14ac:dyDescent="0.25">
      <c r="A166" s="155" t="s">
        <v>361</v>
      </c>
      <c r="B166" s="156" t="s">
        <v>362</v>
      </c>
      <c r="C166" s="176">
        <v>0</v>
      </c>
      <c r="D166" s="176">
        <v>0</v>
      </c>
      <c r="E166" s="176">
        <v>0</v>
      </c>
      <c r="F166" s="176">
        <v>0</v>
      </c>
      <c r="G166" s="176">
        <v>0</v>
      </c>
      <c r="H166" s="176">
        <v>0</v>
      </c>
      <c r="I166" s="176">
        <v>0</v>
      </c>
      <c r="J166" s="176">
        <v>0</v>
      </c>
      <c r="K166" s="176">
        <v>0</v>
      </c>
      <c r="L166" s="176">
        <v>0</v>
      </c>
      <c r="M166" s="176">
        <v>0</v>
      </c>
      <c r="N166" s="176">
        <v>0</v>
      </c>
      <c r="O166" s="152">
        <v>40822</v>
      </c>
      <c r="P166" s="152">
        <v>27000</v>
      </c>
      <c r="Q166" s="152">
        <v>40608</v>
      </c>
      <c r="R166" s="152"/>
      <c r="S166" s="153">
        <v>30000</v>
      </c>
      <c r="T166" s="153"/>
      <c r="U166" s="131" t="s">
        <v>902</v>
      </c>
    </row>
    <row r="167" spans="1:21" hidden="1" x14ac:dyDescent="0.25">
      <c r="A167" s="155" t="s">
        <v>903</v>
      </c>
      <c r="B167" s="156" t="s">
        <v>224</v>
      </c>
      <c r="C167" s="176">
        <v>0</v>
      </c>
      <c r="D167" s="176">
        <v>0</v>
      </c>
      <c r="E167" s="176">
        <v>0</v>
      </c>
      <c r="F167" s="176">
        <v>0</v>
      </c>
      <c r="G167" s="176">
        <v>0</v>
      </c>
      <c r="H167" s="176">
        <v>0</v>
      </c>
      <c r="I167" s="176">
        <v>0</v>
      </c>
      <c r="J167" s="176">
        <v>0</v>
      </c>
      <c r="K167" s="176">
        <v>0</v>
      </c>
      <c r="L167" s="176">
        <v>0</v>
      </c>
      <c r="M167" s="176">
        <v>0</v>
      </c>
      <c r="N167" s="176">
        <v>0</v>
      </c>
      <c r="O167" s="152">
        <v>0</v>
      </c>
      <c r="P167" s="152">
        <v>0</v>
      </c>
      <c r="Q167" s="152">
        <v>0</v>
      </c>
      <c r="R167" s="152"/>
      <c r="S167" s="153">
        <f>SUM(C167:N167)</f>
        <v>0</v>
      </c>
      <c r="T167" s="153"/>
      <c r="U167" s="131"/>
    </row>
    <row r="168" spans="1:21" hidden="1" x14ac:dyDescent="0.25">
      <c r="A168" s="155" t="s">
        <v>904</v>
      </c>
      <c r="B168" s="156" t="s">
        <v>203</v>
      </c>
      <c r="C168" s="176">
        <v>0</v>
      </c>
      <c r="D168" s="176">
        <v>0</v>
      </c>
      <c r="E168" s="176">
        <v>0</v>
      </c>
      <c r="F168" s="176">
        <v>0</v>
      </c>
      <c r="G168" s="176">
        <v>0</v>
      </c>
      <c r="H168" s="176">
        <v>0</v>
      </c>
      <c r="I168" s="176">
        <v>0</v>
      </c>
      <c r="J168" s="176">
        <v>0</v>
      </c>
      <c r="K168" s="176">
        <v>0</v>
      </c>
      <c r="L168" s="176">
        <v>0</v>
      </c>
      <c r="M168" s="176">
        <v>0</v>
      </c>
      <c r="N168" s="176">
        <v>0</v>
      </c>
      <c r="O168" s="152">
        <v>0</v>
      </c>
      <c r="P168" s="152">
        <v>0</v>
      </c>
      <c r="Q168" s="152">
        <v>0</v>
      </c>
      <c r="R168" s="152"/>
      <c r="S168" s="153">
        <f>SUM(C168:N168)</f>
        <v>0</v>
      </c>
      <c r="T168" s="153"/>
      <c r="U168" s="131"/>
    </row>
    <row r="169" spans="1:21" hidden="1" x14ac:dyDescent="0.25">
      <c r="A169" s="155" t="s">
        <v>905</v>
      </c>
      <c r="B169" s="156" t="s">
        <v>906</v>
      </c>
      <c r="C169" s="176">
        <v>0</v>
      </c>
      <c r="D169" s="176">
        <v>0</v>
      </c>
      <c r="E169" s="176">
        <v>0</v>
      </c>
      <c r="F169" s="176">
        <v>0</v>
      </c>
      <c r="G169" s="176">
        <v>0</v>
      </c>
      <c r="H169" s="176">
        <v>0</v>
      </c>
      <c r="I169" s="176">
        <v>0</v>
      </c>
      <c r="J169" s="176">
        <v>0</v>
      </c>
      <c r="K169" s="176">
        <v>0</v>
      </c>
      <c r="L169" s="176">
        <v>0</v>
      </c>
      <c r="M169" s="176">
        <v>0</v>
      </c>
      <c r="N169" s="176">
        <v>0</v>
      </c>
      <c r="O169" s="152">
        <v>0</v>
      </c>
      <c r="P169" s="152"/>
      <c r="Q169" s="152">
        <v>0</v>
      </c>
      <c r="R169" s="152"/>
      <c r="S169" s="153">
        <f>SUM(C169:N169)</f>
        <v>0</v>
      </c>
      <c r="T169" s="153"/>
      <c r="U169" s="131"/>
    </row>
    <row r="170" spans="1:21" hidden="1" x14ac:dyDescent="0.25">
      <c r="A170" s="155" t="s">
        <v>363</v>
      </c>
      <c r="B170" s="156" t="s">
        <v>364</v>
      </c>
      <c r="C170" s="176">
        <v>0</v>
      </c>
      <c r="D170" s="176">
        <v>0</v>
      </c>
      <c r="E170" s="176">
        <v>0</v>
      </c>
      <c r="F170" s="176">
        <v>0</v>
      </c>
      <c r="G170" s="176">
        <v>0</v>
      </c>
      <c r="H170" s="176">
        <v>0</v>
      </c>
      <c r="I170" s="176">
        <v>0</v>
      </c>
      <c r="J170" s="176">
        <v>0</v>
      </c>
      <c r="K170" s="176">
        <v>0</v>
      </c>
      <c r="L170" s="176">
        <v>0</v>
      </c>
      <c r="M170" s="176">
        <v>0</v>
      </c>
      <c r="N170" s="176">
        <v>0</v>
      </c>
      <c r="O170" s="152">
        <v>1500</v>
      </c>
      <c r="P170" s="152">
        <v>3000</v>
      </c>
      <c r="Q170" s="152">
        <v>1500</v>
      </c>
      <c r="R170" s="152"/>
      <c r="S170" s="192">
        <v>3000</v>
      </c>
      <c r="T170" s="192"/>
      <c r="U170" s="172">
        <f>SUM(P157:P170)</f>
        <v>77680</v>
      </c>
    </row>
    <row r="171" spans="1:21" hidden="1" x14ac:dyDescent="0.25">
      <c r="A171" s="165"/>
      <c r="B171" s="166"/>
      <c r="C171" s="193"/>
      <c r="D171" s="193"/>
      <c r="E171" s="193"/>
      <c r="F171" s="193"/>
      <c r="G171" s="193"/>
      <c r="H171" s="193"/>
      <c r="I171" s="193"/>
      <c r="J171" s="193"/>
      <c r="K171" s="193"/>
      <c r="L171" s="193"/>
      <c r="M171" s="193"/>
      <c r="N171" s="193"/>
      <c r="O171" s="184"/>
      <c r="P171" s="184"/>
      <c r="Q171" s="184"/>
      <c r="R171" s="184"/>
      <c r="S171" s="194"/>
      <c r="T171" s="194"/>
      <c r="U171" s="131"/>
    </row>
    <row r="172" spans="1:21" hidden="1" x14ac:dyDescent="0.25">
      <c r="A172" s="168" t="s">
        <v>365</v>
      </c>
      <c r="B172" s="173"/>
      <c r="C172" s="169"/>
      <c r="D172" s="169"/>
      <c r="E172" s="169"/>
      <c r="F172" s="169"/>
      <c r="G172" s="169"/>
      <c r="H172" s="169"/>
      <c r="I172" s="169"/>
      <c r="J172" s="169"/>
      <c r="K172" s="169"/>
      <c r="L172" s="169"/>
      <c r="M172" s="169"/>
      <c r="N172" s="169"/>
      <c r="O172" s="174"/>
      <c r="P172" s="174"/>
      <c r="Q172" s="174"/>
      <c r="R172" s="174"/>
      <c r="S172" s="175"/>
      <c r="T172" s="175"/>
      <c r="U172" s="131"/>
    </row>
    <row r="173" spans="1:21" hidden="1" x14ac:dyDescent="0.25">
      <c r="A173" s="155" t="s">
        <v>366</v>
      </c>
      <c r="B173" s="156" t="s">
        <v>118</v>
      </c>
      <c r="C173" s="151">
        <v>155</v>
      </c>
      <c r="D173" s="151">
        <v>5</v>
      </c>
      <c r="E173" s="151">
        <v>5</v>
      </c>
      <c r="F173" s="151">
        <v>5</v>
      </c>
      <c r="G173" s="151">
        <v>5</v>
      </c>
      <c r="H173" s="151">
        <v>5</v>
      </c>
      <c r="I173" s="151">
        <v>5</v>
      </c>
      <c r="J173" s="151">
        <v>5</v>
      </c>
      <c r="K173" s="151">
        <v>5</v>
      </c>
      <c r="L173" s="151">
        <v>5</v>
      </c>
      <c r="M173" s="151">
        <v>5</v>
      </c>
      <c r="N173" s="151">
        <v>5</v>
      </c>
      <c r="O173" s="152">
        <v>0</v>
      </c>
      <c r="P173" s="152">
        <v>0</v>
      </c>
      <c r="Q173" s="152">
        <v>0</v>
      </c>
      <c r="R173" s="152"/>
      <c r="S173" s="153">
        <f>SUM(C173:N173)</f>
        <v>210</v>
      </c>
      <c r="T173" s="153"/>
      <c r="U173" s="131"/>
    </row>
    <row r="174" spans="1:21" hidden="1" x14ac:dyDescent="0.25">
      <c r="A174" s="155" t="s">
        <v>367</v>
      </c>
      <c r="B174" s="156" t="s">
        <v>120</v>
      </c>
      <c r="C174" s="151">
        <v>2</v>
      </c>
      <c r="D174" s="151">
        <v>2</v>
      </c>
      <c r="E174" s="151">
        <v>2</v>
      </c>
      <c r="F174" s="151">
        <v>2</v>
      </c>
      <c r="G174" s="151">
        <v>2</v>
      </c>
      <c r="H174" s="151">
        <v>2</v>
      </c>
      <c r="I174" s="151">
        <v>2</v>
      </c>
      <c r="J174" s="151">
        <v>2</v>
      </c>
      <c r="K174" s="151">
        <v>2</v>
      </c>
      <c r="L174" s="151">
        <v>2</v>
      </c>
      <c r="M174" s="151">
        <v>2</v>
      </c>
      <c r="N174" s="151">
        <v>2</v>
      </c>
      <c r="O174" s="152">
        <v>0</v>
      </c>
      <c r="P174" s="152">
        <v>0</v>
      </c>
      <c r="Q174" s="152">
        <v>0</v>
      </c>
      <c r="R174" s="152"/>
      <c r="S174" s="153"/>
      <c r="T174" s="153"/>
      <c r="U174" s="131"/>
    </row>
    <row r="175" spans="1:21" hidden="1" x14ac:dyDescent="0.25">
      <c r="A175" s="155" t="s">
        <v>368</v>
      </c>
      <c r="B175" s="156" t="s">
        <v>122</v>
      </c>
      <c r="C175" s="151">
        <v>2</v>
      </c>
      <c r="D175" s="151">
        <v>2</v>
      </c>
      <c r="E175" s="151">
        <v>2</v>
      </c>
      <c r="F175" s="151">
        <v>2</v>
      </c>
      <c r="G175" s="151">
        <v>2</v>
      </c>
      <c r="H175" s="151">
        <v>2</v>
      </c>
      <c r="I175" s="151">
        <v>2</v>
      </c>
      <c r="J175" s="151">
        <v>2</v>
      </c>
      <c r="K175" s="151">
        <v>2</v>
      </c>
      <c r="L175" s="151">
        <v>2</v>
      </c>
      <c r="M175" s="151">
        <v>2</v>
      </c>
      <c r="N175" s="151">
        <v>2</v>
      </c>
      <c r="O175" s="152">
        <v>0</v>
      </c>
      <c r="P175" s="152">
        <v>60</v>
      </c>
      <c r="Q175" s="152">
        <v>0</v>
      </c>
      <c r="R175" s="152"/>
      <c r="S175" s="153"/>
      <c r="T175" s="153"/>
      <c r="U175" s="131"/>
    </row>
    <row r="176" spans="1:21" hidden="1" x14ac:dyDescent="0.25">
      <c r="A176" s="155" t="s">
        <v>369</v>
      </c>
      <c r="B176" s="156" t="s">
        <v>124</v>
      </c>
      <c r="C176" s="151">
        <v>2</v>
      </c>
      <c r="D176" s="151">
        <v>2</v>
      </c>
      <c r="E176" s="151">
        <v>2</v>
      </c>
      <c r="F176" s="151">
        <v>2</v>
      </c>
      <c r="G176" s="151">
        <v>2</v>
      </c>
      <c r="H176" s="151">
        <v>2</v>
      </c>
      <c r="I176" s="151">
        <v>2</v>
      </c>
      <c r="J176" s="151">
        <v>2</v>
      </c>
      <c r="K176" s="151">
        <v>2</v>
      </c>
      <c r="L176" s="151">
        <v>2</v>
      </c>
      <c r="M176" s="151">
        <v>2</v>
      </c>
      <c r="N176" s="151">
        <v>2</v>
      </c>
      <c r="O176" s="152">
        <v>0</v>
      </c>
      <c r="P176" s="152">
        <v>24</v>
      </c>
      <c r="Q176" s="152">
        <v>0</v>
      </c>
      <c r="R176" s="152"/>
      <c r="S176" s="153"/>
      <c r="T176" s="153"/>
      <c r="U176" s="131"/>
    </row>
    <row r="177" spans="1:25" hidden="1" x14ac:dyDescent="0.25">
      <c r="A177" s="155" t="s">
        <v>370</v>
      </c>
      <c r="B177" s="156" t="s">
        <v>346</v>
      </c>
      <c r="C177" s="151">
        <v>0</v>
      </c>
      <c r="D177" s="151">
        <v>0</v>
      </c>
      <c r="E177" s="151">
        <v>0</v>
      </c>
      <c r="F177" s="151">
        <v>5000</v>
      </c>
      <c r="G177" s="151">
        <v>1400</v>
      </c>
      <c r="H177" s="151">
        <v>250</v>
      </c>
      <c r="I177" s="151">
        <v>2000</v>
      </c>
      <c r="J177" s="151">
        <v>250</v>
      </c>
      <c r="K177" s="151">
        <v>0</v>
      </c>
      <c r="L177" s="151">
        <v>3250</v>
      </c>
      <c r="M177" s="151">
        <v>500</v>
      </c>
      <c r="N177" s="151">
        <v>0</v>
      </c>
      <c r="O177" s="152">
        <v>4900</v>
      </c>
      <c r="P177" s="152">
        <v>7100</v>
      </c>
      <c r="Q177" s="152">
        <v>9550</v>
      </c>
      <c r="R177" s="152"/>
      <c r="S177" s="153">
        <f>SUM(C177:N177)</f>
        <v>12650</v>
      </c>
      <c r="T177" s="153"/>
      <c r="U177" s="131"/>
      <c r="V177" s="181"/>
      <c r="W177" s="25"/>
    </row>
    <row r="178" spans="1:25" hidden="1" x14ac:dyDescent="0.25">
      <c r="A178" s="155" t="s">
        <v>371</v>
      </c>
      <c r="B178" s="156" t="s">
        <v>372</v>
      </c>
      <c r="C178" s="151">
        <v>500</v>
      </c>
      <c r="D178" s="151">
        <v>0</v>
      </c>
      <c r="E178" s="151">
        <v>0</v>
      </c>
      <c r="F178" s="151">
        <v>0</v>
      </c>
      <c r="G178" s="151">
        <v>250</v>
      </c>
      <c r="H178" s="151">
        <v>0</v>
      </c>
      <c r="I178" s="151">
        <v>0</v>
      </c>
      <c r="J178" s="151">
        <v>0</v>
      </c>
      <c r="K178" s="151">
        <v>0</v>
      </c>
      <c r="L178" s="151">
        <v>0</v>
      </c>
      <c r="M178" s="151">
        <v>0</v>
      </c>
      <c r="N178" s="151">
        <v>0</v>
      </c>
      <c r="O178" s="152">
        <v>0</v>
      </c>
      <c r="P178" s="152">
        <v>2000</v>
      </c>
      <c r="Q178" s="152">
        <v>2000</v>
      </c>
      <c r="R178" s="152"/>
      <c r="S178" s="153">
        <f>SUM(C178:N178)</f>
        <v>750</v>
      </c>
      <c r="T178" s="153"/>
      <c r="U178" s="131"/>
      <c r="V178" s="181"/>
      <c r="W178" s="25"/>
    </row>
    <row r="179" spans="1:25" hidden="1" x14ac:dyDescent="0.25">
      <c r="A179" s="155" t="s">
        <v>373</v>
      </c>
      <c r="B179" s="156" t="s">
        <v>374</v>
      </c>
      <c r="C179" s="151">
        <v>0</v>
      </c>
      <c r="D179" s="151">
        <v>0</v>
      </c>
      <c r="E179" s="151">
        <v>0</v>
      </c>
      <c r="F179" s="151">
        <v>0</v>
      </c>
      <c r="G179" s="151">
        <v>315</v>
      </c>
      <c r="H179" s="151">
        <v>0</v>
      </c>
      <c r="I179" s="151">
        <v>750</v>
      </c>
      <c r="J179" s="151">
        <v>305</v>
      </c>
      <c r="K179" s="151">
        <v>0</v>
      </c>
      <c r="L179" s="151">
        <v>315</v>
      </c>
      <c r="M179" s="151">
        <v>0</v>
      </c>
      <c r="N179" s="151">
        <v>0</v>
      </c>
      <c r="O179" s="152">
        <v>2900</v>
      </c>
      <c r="P179" s="152">
        <v>3400</v>
      </c>
      <c r="Q179" s="152">
        <v>3400</v>
      </c>
      <c r="R179" s="152"/>
      <c r="S179" s="153">
        <f>SUM(C179:N179)</f>
        <v>1685</v>
      </c>
      <c r="T179" s="153"/>
      <c r="U179" s="172"/>
      <c r="V179" s="181"/>
      <c r="W179" s="25"/>
      <c r="X179" s="25"/>
    </row>
    <row r="180" spans="1:25" hidden="1" x14ac:dyDescent="0.25">
      <c r="A180" s="165"/>
      <c r="B180" s="166"/>
      <c r="C180" s="167"/>
      <c r="D180" s="167"/>
      <c r="E180" s="167"/>
      <c r="F180" s="167"/>
      <c r="G180" s="167"/>
      <c r="H180" s="167"/>
      <c r="I180" s="167"/>
      <c r="J180" s="167"/>
      <c r="K180" s="167"/>
      <c r="L180" s="167"/>
      <c r="M180" s="167"/>
      <c r="N180" s="167"/>
      <c r="O180" s="152"/>
      <c r="P180" s="152"/>
      <c r="Q180" s="152"/>
      <c r="R180" s="152"/>
      <c r="S180" s="153"/>
      <c r="T180" s="153"/>
      <c r="U180" s="131"/>
      <c r="V180" s="181"/>
      <c r="W180" s="25"/>
      <c r="X180" s="25"/>
    </row>
    <row r="181" spans="1:25" hidden="1" x14ac:dyDescent="0.25">
      <c r="A181" s="168" t="s">
        <v>375</v>
      </c>
      <c r="B181" s="173"/>
      <c r="C181" s="169"/>
      <c r="D181" s="169"/>
      <c r="E181" s="169"/>
      <c r="F181" s="169"/>
      <c r="G181" s="169"/>
      <c r="H181" s="169"/>
      <c r="I181" s="169"/>
      <c r="J181" s="169"/>
      <c r="K181" s="169"/>
      <c r="L181" s="169"/>
      <c r="M181" s="169"/>
      <c r="N181" s="169"/>
      <c r="O181" s="174"/>
      <c r="P181" s="174"/>
      <c r="Q181" s="174"/>
      <c r="R181" s="174"/>
      <c r="S181" s="175"/>
      <c r="T181" s="175"/>
      <c r="U181" s="178"/>
      <c r="V181" s="181"/>
      <c r="W181" s="25"/>
      <c r="X181" s="25"/>
      <c r="Y181" s="179"/>
    </row>
    <row r="182" spans="1:25" hidden="1" x14ac:dyDescent="0.25">
      <c r="A182" s="155" t="s">
        <v>376</v>
      </c>
      <c r="B182" s="156" t="s">
        <v>118</v>
      </c>
      <c r="C182" s="151">
        <v>0</v>
      </c>
      <c r="D182" s="151">
        <v>0</v>
      </c>
      <c r="E182" s="151">
        <v>0</v>
      </c>
      <c r="F182" s="151">
        <v>0</v>
      </c>
      <c r="G182" s="151">
        <v>0</v>
      </c>
      <c r="H182" s="151">
        <v>0</v>
      </c>
      <c r="I182" s="151">
        <v>0</v>
      </c>
      <c r="J182" s="151">
        <v>0</v>
      </c>
      <c r="K182" s="151">
        <v>0</v>
      </c>
      <c r="L182" s="151">
        <v>0</v>
      </c>
      <c r="M182" s="151">
        <v>0</v>
      </c>
      <c r="N182" s="151">
        <v>0</v>
      </c>
      <c r="O182" s="152">
        <v>120.45</v>
      </c>
      <c r="P182" s="152">
        <v>120</v>
      </c>
      <c r="Q182" s="152">
        <v>60</v>
      </c>
      <c r="R182" s="152"/>
      <c r="S182" s="153">
        <f>SUM(C182:N182)</f>
        <v>0</v>
      </c>
      <c r="T182" s="153"/>
      <c r="U182" s="195"/>
      <c r="V182" s="181"/>
      <c r="W182" s="25"/>
      <c r="X182" s="25"/>
      <c r="Y182" s="179"/>
    </row>
    <row r="183" spans="1:25" hidden="1" x14ac:dyDescent="0.25">
      <c r="A183" s="155" t="s">
        <v>377</v>
      </c>
      <c r="B183" s="156" t="s">
        <v>120</v>
      </c>
      <c r="C183" s="151">
        <v>0</v>
      </c>
      <c r="D183" s="151">
        <v>0</v>
      </c>
      <c r="E183" s="151">
        <v>0</v>
      </c>
      <c r="F183" s="151">
        <v>0</v>
      </c>
      <c r="G183" s="151">
        <v>0</v>
      </c>
      <c r="H183" s="151">
        <v>0</v>
      </c>
      <c r="I183" s="151">
        <v>0</v>
      </c>
      <c r="J183" s="151">
        <v>0</v>
      </c>
      <c r="K183" s="151">
        <v>0</v>
      </c>
      <c r="L183" s="151">
        <v>0</v>
      </c>
      <c r="M183" s="151">
        <v>0</v>
      </c>
      <c r="N183" s="151">
        <v>0</v>
      </c>
      <c r="O183" s="152">
        <v>4059.32</v>
      </c>
      <c r="P183" s="152">
        <v>4800</v>
      </c>
      <c r="Q183" s="152">
        <v>4000</v>
      </c>
      <c r="R183" s="152"/>
      <c r="S183" s="153">
        <v>4000</v>
      </c>
      <c r="T183" s="153"/>
      <c r="U183" s="180"/>
      <c r="V183" s="181"/>
      <c r="W183" s="25"/>
      <c r="X183" s="25"/>
      <c r="Y183" s="179"/>
    </row>
    <row r="184" spans="1:25" hidden="1" x14ac:dyDescent="0.25">
      <c r="A184" s="155" t="s">
        <v>378</v>
      </c>
      <c r="B184" s="156" t="s">
        <v>122</v>
      </c>
      <c r="C184" s="151">
        <v>0</v>
      </c>
      <c r="D184" s="151">
        <v>0</v>
      </c>
      <c r="E184" s="151">
        <v>0</v>
      </c>
      <c r="F184" s="151">
        <v>0</v>
      </c>
      <c r="G184" s="151">
        <v>0</v>
      </c>
      <c r="H184" s="151">
        <v>0</v>
      </c>
      <c r="I184" s="151">
        <v>0</v>
      </c>
      <c r="J184" s="151">
        <v>0</v>
      </c>
      <c r="K184" s="151">
        <v>0</v>
      </c>
      <c r="L184" s="151">
        <v>0</v>
      </c>
      <c r="M184" s="151">
        <v>0</v>
      </c>
      <c r="N184" s="151">
        <v>0</v>
      </c>
      <c r="O184" s="152">
        <v>244</v>
      </c>
      <c r="P184" s="152">
        <v>240</v>
      </c>
      <c r="Q184" s="152">
        <v>240</v>
      </c>
      <c r="R184" s="152"/>
      <c r="S184" s="153">
        <f>SUM(C184:N184)</f>
        <v>0</v>
      </c>
      <c r="T184" s="153"/>
      <c r="U184" s="180"/>
      <c r="X184" s="25"/>
      <c r="Y184" s="179"/>
    </row>
    <row r="185" spans="1:25" hidden="1" x14ac:dyDescent="0.25">
      <c r="A185" s="155" t="s">
        <v>379</v>
      </c>
      <c r="B185" s="156" t="s">
        <v>203</v>
      </c>
      <c r="C185" s="151">
        <v>0</v>
      </c>
      <c r="D185" s="151">
        <v>0</v>
      </c>
      <c r="E185" s="151">
        <v>0</v>
      </c>
      <c r="F185" s="151">
        <v>0</v>
      </c>
      <c r="G185" s="151">
        <v>0</v>
      </c>
      <c r="H185" s="151">
        <v>0</v>
      </c>
      <c r="I185" s="151">
        <v>0</v>
      </c>
      <c r="J185" s="151">
        <v>0</v>
      </c>
      <c r="K185" s="151">
        <v>0</v>
      </c>
      <c r="L185" s="151">
        <v>0</v>
      </c>
      <c r="M185" s="151">
        <v>0</v>
      </c>
      <c r="N185" s="151">
        <v>0</v>
      </c>
      <c r="O185" s="152">
        <v>25.22</v>
      </c>
      <c r="P185" s="152">
        <v>120</v>
      </c>
      <c r="Q185" s="152">
        <v>120</v>
      </c>
      <c r="R185" s="152"/>
      <c r="S185" s="153">
        <v>0</v>
      </c>
      <c r="T185" s="153"/>
      <c r="U185" s="180"/>
      <c r="X185" s="25"/>
      <c r="Y185" s="179"/>
    </row>
    <row r="186" spans="1:25" hidden="1" x14ac:dyDescent="0.25">
      <c r="A186" s="155" t="s">
        <v>380</v>
      </c>
      <c r="B186" s="156" t="s">
        <v>381</v>
      </c>
      <c r="C186" s="151">
        <v>0</v>
      </c>
      <c r="D186" s="151">
        <v>0</v>
      </c>
      <c r="E186" s="151">
        <v>0</v>
      </c>
      <c r="F186" s="151">
        <v>0</v>
      </c>
      <c r="G186" s="151">
        <v>0</v>
      </c>
      <c r="H186" s="151">
        <v>0</v>
      </c>
      <c r="I186" s="151">
        <v>0</v>
      </c>
      <c r="J186" s="151">
        <v>0</v>
      </c>
      <c r="K186" s="151">
        <v>0</v>
      </c>
      <c r="L186" s="151">
        <v>0</v>
      </c>
      <c r="M186" s="151">
        <v>0</v>
      </c>
      <c r="N186" s="151">
        <v>0</v>
      </c>
      <c r="O186" s="152">
        <v>1853.04</v>
      </c>
      <c r="P186" s="152">
        <v>3360</v>
      </c>
      <c r="Q186" s="152">
        <v>3360</v>
      </c>
      <c r="R186" s="152"/>
      <c r="S186" s="153">
        <v>3360</v>
      </c>
      <c r="T186" s="153"/>
      <c r="U186" s="180"/>
      <c r="V186" s="181"/>
      <c r="W186" s="25"/>
      <c r="Y186" s="179"/>
    </row>
    <row r="187" spans="1:25" hidden="1" x14ac:dyDescent="0.25">
      <c r="A187" s="155" t="s">
        <v>382</v>
      </c>
      <c r="B187" s="156" t="s">
        <v>134</v>
      </c>
      <c r="C187" s="151">
        <v>0</v>
      </c>
      <c r="D187" s="151">
        <v>0</v>
      </c>
      <c r="E187" s="151">
        <v>0</v>
      </c>
      <c r="F187" s="151">
        <v>0</v>
      </c>
      <c r="G187" s="151">
        <v>0</v>
      </c>
      <c r="H187" s="151">
        <v>0</v>
      </c>
      <c r="I187" s="151">
        <v>0</v>
      </c>
      <c r="J187" s="151">
        <v>0</v>
      </c>
      <c r="K187" s="151">
        <v>0</v>
      </c>
      <c r="L187" s="151">
        <v>0</v>
      </c>
      <c r="M187" s="151">
        <v>0</v>
      </c>
      <c r="N187" s="151">
        <v>0</v>
      </c>
      <c r="O187" s="152">
        <v>1685</v>
      </c>
      <c r="P187" s="152">
        <v>3000</v>
      </c>
      <c r="Q187" s="152">
        <v>3000</v>
      </c>
      <c r="R187" s="152"/>
      <c r="S187" s="153">
        <v>3000</v>
      </c>
      <c r="T187" s="153"/>
      <c r="U187" s="182"/>
      <c r="V187" s="181"/>
      <c r="W187" s="25"/>
      <c r="Y187" s="179"/>
    </row>
    <row r="188" spans="1:25" hidden="1" x14ac:dyDescent="0.25">
      <c r="A188" s="165"/>
      <c r="B188" s="166"/>
      <c r="C188" s="167"/>
      <c r="D188" s="167"/>
      <c r="E188" s="167"/>
      <c r="F188" s="167"/>
      <c r="G188" s="167"/>
      <c r="H188" s="167"/>
      <c r="I188" s="167"/>
      <c r="J188" s="167"/>
      <c r="K188" s="167"/>
      <c r="L188" s="167"/>
      <c r="M188" s="167"/>
      <c r="N188" s="167"/>
      <c r="O188" s="152"/>
      <c r="P188" s="152"/>
      <c r="Q188" s="152"/>
      <c r="R188" s="152"/>
      <c r="S188" s="153"/>
      <c r="T188" s="153"/>
      <c r="U188" s="180"/>
      <c r="V188" s="181"/>
      <c r="W188" s="25"/>
      <c r="X188" s="25"/>
      <c r="Y188" s="179"/>
    </row>
    <row r="189" spans="1:25" hidden="1" x14ac:dyDescent="0.25">
      <c r="A189" s="168" t="s">
        <v>383</v>
      </c>
      <c r="B189" s="173"/>
      <c r="C189" s="169"/>
      <c r="D189" s="169"/>
      <c r="E189" s="169"/>
      <c r="F189" s="169"/>
      <c r="G189" s="169"/>
      <c r="H189" s="169"/>
      <c r="I189" s="169"/>
      <c r="J189" s="169"/>
      <c r="K189" s="169"/>
      <c r="L189" s="169"/>
      <c r="M189" s="169"/>
      <c r="N189" s="169"/>
      <c r="O189" s="174"/>
      <c r="P189" s="174"/>
      <c r="Q189" s="174"/>
      <c r="R189" s="174"/>
      <c r="S189" s="175"/>
      <c r="T189" s="175"/>
      <c r="U189" s="131"/>
      <c r="V189" s="181"/>
      <c r="W189" s="25"/>
      <c r="X189" s="25"/>
    </row>
    <row r="190" spans="1:25" hidden="1" x14ac:dyDescent="0.25">
      <c r="A190" s="155" t="s">
        <v>384</v>
      </c>
      <c r="B190" s="156" t="s">
        <v>118</v>
      </c>
      <c r="C190" s="196">
        <v>0</v>
      </c>
      <c r="D190" s="196">
        <v>0</v>
      </c>
      <c r="E190" s="196">
        <v>0</v>
      </c>
      <c r="F190" s="196">
        <v>0</v>
      </c>
      <c r="G190" s="196">
        <v>0</v>
      </c>
      <c r="H190" s="196">
        <v>0</v>
      </c>
      <c r="I190" s="196">
        <v>0</v>
      </c>
      <c r="J190" s="196">
        <v>0</v>
      </c>
      <c r="K190" s="196">
        <v>0</v>
      </c>
      <c r="L190" s="196">
        <v>0</v>
      </c>
      <c r="M190" s="196">
        <v>0</v>
      </c>
      <c r="N190" s="196">
        <v>0</v>
      </c>
      <c r="O190" s="152">
        <v>245.37</v>
      </c>
      <c r="P190" s="152">
        <v>120</v>
      </c>
      <c r="Q190" s="152">
        <v>215</v>
      </c>
      <c r="R190" s="152"/>
      <c r="S190" s="153"/>
      <c r="T190" s="153"/>
      <c r="U190" s="180"/>
      <c r="X190" s="25"/>
      <c r="Y190" s="179"/>
    </row>
    <row r="191" spans="1:25" hidden="1" x14ac:dyDescent="0.25">
      <c r="A191" s="155" t="s">
        <v>385</v>
      </c>
      <c r="B191" s="156" t="s">
        <v>126</v>
      </c>
      <c r="C191" s="196">
        <v>0</v>
      </c>
      <c r="D191" s="196">
        <v>0</v>
      </c>
      <c r="E191" s="196">
        <v>0</v>
      </c>
      <c r="F191" s="196">
        <v>0</v>
      </c>
      <c r="G191" s="196">
        <v>0</v>
      </c>
      <c r="H191" s="196">
        <v>0</v>
      </c>
      <c r="I191" s="196">
        <v>0</v>
      </c>
      <c r="J191" s="196">
        <v>0</v>
      </c>
      <c r="K191" s="196">
        <v>0</v>
      </c>
      <c r="L191" s="196">
        <v>0</v>
      </c>
      <c r="M191" s="196">
        <v>0</v>
      </c>
      <c r="N191" s="196">
        <v>0</v>
      </c>
      <c r="O191" s="152">
        <v>1351.36</v>
      </c>
      <c r="P191" s="152">
        <v>0</v>
      </c>
      <c r="Q191" s="152">
        <v>0</v>
      </c>
      <c r="R191" s="152"/>
      <c r="S191" s="153">
        <f>SUM(C191:N191)</f>
        <v>0</v>
      </c>
      <c r="T191" s="153"/>
      <c r="U191" s="180"/>
      <c r="X191" s="25"/>
      <c r="Y191" s="179"/>
    </row>
    <row r="192" spans="1:25" hidden="1" x14ac:dyDescent="0.25">
      <c r="A192" s="155" t="s">
        <v>386</v>
      </c>
      <c r="B192" s="156" t="s">
        <v>120</v>
      </c>
      <c r="C192" s="196">
        <v>0</v>
      </c>
      <c r="D192" s="196">
        <v>0</v>
      </c>
      <c r="E192" s="196">
        <v>0</v>
      </c>
      <c r="F192" s="196">
        <v>0</v>
      </c>
      <c r="G192" s="196">
        <v>0</v>
      </c>
      <c r="H192" s="196">
        <v>0</v>
      </c>
      <c r="I192" s="196">
        <v>0</v>
      </c>
      <c r="J192" s="196">
        <v>0</v>
      </c>
      <c r="K192" s="196">
        <v>0</v>
      </c>
      <c r="L192" s="196">
        <v>0</v>
      </c>
      <c r="M192" s="196">
        <v>0</v>
      </c>
      <c r="N192" s="196">
        <v>0</v>
      </c>
      <c r="O192" s="152">
        <v>3494.88</v>
      </c>
      <c r="P192" s="152">
        <v>6960</v>
      </c>
      <c r="Q192" s="152">
        <v>6960</v>
      </c>
      <c r="R192" s="152"/>
      <c r="S192" s="153">
        <v>4600</v>
      </c>
      <c r="T192" s="153"/>
      <c r="U192" s="180"/>
      <c r="Y192" s="179"/>
    </row>
    <row r="193" spans="1:25" hidden="1" x14ac:dyDescent="0.25">
      <c r="A193" s="155" t="s">
        <v>387</v>
      </c>
      <c r="B193" s="156" t="s">
        <v>122</v>
      </c>
      <c r="C193" s="196">
        <v>0</v>
      </c>
      <c r="D193" s="196">
        <v>0</v>
      </c>
      <c r="E193" s="196">
        <v>0</v>
      </c>
      <c r="F193" s="196">
        <v>0</v>
      </c>
      <c r="G193" s="196">
        <v>0</v>
      </c>
      <c r="H193" s="196">
        <v>0</v>
      </c>
      <c r="I193" s="196">
        <v>0</v>
      </c>
      <c r="J193" s="196">
        <v>0</v>
      </c>
      <c r="K193" s="196">
        <v>0</v>
      </c>
      <c r="L193" s="196">
        <v>0</v>
      </c>
      <c r="M193" s="196">
        <v>0</v>
      </c>
      <c r="N193" s="196">
        <v>0</v>
      </c>
      <c r="O193" s="152">
        <v>568.5</v>
      </c>
      <c r="P193" s="152">
        <v>120</v>
      </c>
      <c r="Q193" s="152">
        <v>0</v>
      </c>
      <c r="R193" s="152"/>
      <c r="S193" s="153">
        <f>SUM(C193:N193)</f>
        <v>0</v>
      </c>
      <c r="T193" s="153"/>
      <c r="U193" s="180"/>
      <c r="Y193" s="179"/>
    </row>
    <row r="194" spans="1:25" hidden="1" x14ac:dyDescent="0.25">
      <c r="A194" s="155" t="s">
        <v>388</v>
      </c>
      <c r="B194" s="156" t="s">
        <v>124</v>
      </c>
      <c r="C194" s="196">
        <v>0</v>
      </c>
      <c r="D194" s="196">
        <v>0</v>
      </c>
      <c r="E194" s="196">
        <v>0</v>
      </c>
      <c r="F194" s="196">
        <v>0</v>
      </c>
      <c r="G194" s="196">
        <v>0</v>
      </c>
      <c r="H194" s="196">
        <v>0</v>
      </c>
      <c r="I194" s="196">
        <v>0</v>
      </c>
      <c r="J194" s="196">
        <v>0</v>
      </c>
      <c r="K194" s="196">
        <v>0</v>
      </c>
      <c r="L194" s="196">
        <v>0</v>
      </c>
      <c r="M194" s="196">
        <v>0</v>
      </c>
      <c r="N194" s="196">
        <v>0</v>
      </c>
      <c r="O194" s="152">
        <v>29.25</v>
      </c>
      <c r="P194" s="152">
        <v>144</v>
      </c>
      <c r="Q194" s="152">
        <v>0</v>
      </c>
      <c r="R194" s="152"/>
      <c r="S194" s="153">
        <f>SUM(C194:N194)</f>
        <v>0</v>
      </c>
      <c r="T194" s="153"/>
      <c r="U194" s="180"/>
      <c r="Y194" s="179"/>
    </row>
    <row r="195" spans="1:25" hidden="1" x14ac:dyDescent="0.25">
      <c r="A195" s="155" t="s">
        <v>390</v>
      </c>
      <c r="B195" s="156" t="s">
        <v>391</v>
      </c>
      <c r="C195" s="196"/>
      <c r="D195" s="196"/>
      <c r="E195" s="196"/>
      <c r="F195" s="196"/>
      <c r="G195" s="196"/>
      <c r="H195" s="196"/>
      <c r="I195" s="196"/>
      <c r="J195" s="196"/>
      <c r="K195" s="196"/>
      <c r="L195" s="196"/>
      <c r="M195" s="196"/>
      <c r="N195" s="196"/>
      <c r="O195" s="152">
        <v>0</v>
      </c>
      <c r="P195" s="152">
        <v>3500</v>
      </c>
      <c r="Q195" s="152"/>
      <c r="R195" s="152"/>
      <c r="S195" s="153"/>
      <c r="T195" s="153"/>
      <c r="U195" s="180"/>
      <c r="Y195" s="179"/>
    </row>
    <row r="196" spans="1:25" hidden="1" x14ac:dyDescent="0.25">
      <c r="A196" s="155" t="s">
        <v>907</v>
      </c>
      <c r="B196" s="156" t="s">
        <v>908</v>
      </c>
      <c r="C196" s="196"/>
      <c r="D196" s="196"/>
      <c r="E196" s="196"/>
      <c r="F196" s="196"/>
      <c r="G196" s="196"/>
      <c r="H196" s="196"/>
      <c r="I196" s="196"/>
      <c r="J196" s="196"/>
      <c r="K196" s="196"/>
      <c r="L196" s="196"/>
      <c r="M196" s="196"/>
      <c r="N196" s="196"/>
      <c r="O196" s="152">
        <v>0</v>
      </c>
      <c r="P196" s="152">
        <v>3500</v>
      </c>
      <c r="Q196" s="152"/>
      <c r="R196" s="152"/>
      <c r="S196" s="153"/>
      <c r="T196" s="153"/>
      <c r="U196" s="180"/>
      <c r="Y196" s="179"/>
    </row>
    <row r="197" spans="1:25" hidden="1" x14ac:dyDescent="0.25">
      <c r="A197" s="155" t="s">
        <v>389</v>
      </c>
      <c r="B197" s="156" t="s">
        <v>381</v>
      </c>
      <c r="C197" s="196">
        <v>0</v>
      </c>
      <c r="D197" s="196">
        <v>0</v>
      </c>
      <c r="E197" s="196">
        <v>0</v>
      </c>
      <c r="F197" s="196">
        <v>0</v>
      </c>
      <c r="G197" s="196">
        <v>0</v>
      </c>
      <c r="H197" s="196">
        <v>0</v>
      </c>
      <c r="I197" s="196">
        <v>0</v>
      </c>
      <c r="J197" s="196">
        <v>0</v>
      </c>
      <c r="K197" s="196">
        <v>0</v>
      </c>
      <c r="L197" s="196">
        <v>0</v>
      </c>
      <c r="M197" s="196">
        <v>0</v>
      </c>
      <c r="N197" s="196">
        <v>0</v>
      </c>
      <c r="O197" s="152">
        <v>0</v>
      </c>
      <c r="P197" s="152">
        <v>3000</v>
      </c>
      <c r="Q197" s="152">
        <v>3000</v>
      </c>
      <c r="R197" s="152"/>
      <c r="S197" s="153">
        <v>3000</v>
      </c>
      <c r="T197" s="153"/>
      <c r="U197" s="131"/>
      <c r="V197" s="181"/>
      <c r="W197" s="25"/>
    </row>
    <row r="198" spans="1:25" hidden="1" x14ac:dyDescent="0.25">
      <c r="A198" s="155" t="s">
        <v>382</v>
      </c>
      <c r="B198" s="156" t="s">
        <v>134</v>
      </c>
      <c r="C198" s="196">
        <v>0</v>
      </c>
      <c r="D198" s="196">
        <v>0</v>
      </c>
      <c r="E198" s="196">
        <v>0</v>
      </c>
      <c r="F198" s="196">
        <v>0</v>
      </c>
      <c r="G198" s="196">
        <v>0</v>
      </c>
      <c r="H198" s="196">
        <v>0</v>
      </c>
      <c r="I198" s="196">
        <v>0</v>
      </c>
      <c r="J198" s="196">
        <v>0</v>
      </c>
      <c r="K198" s="196">
        <v>0</v>
      </c>
      <c r="L198" s="196">
        <v>0</v>
      </c>
      <c r="M198" s="196">
        <v>0</v>
      </c>
      <c r="N198" s="196">
        <v>0</v>
      </c>
      <c r="O198" s="152">
        <v>205.83</v>
      </c>
      <c r="P198" s="152">
        <v>2000</v>
      </c>
      <c r="Q198" s="152">
        <v>2000</v>
      </c>
      <c r="R198" s="152"/>
      <c r="S198" s="153">
        <v>2000</v>
      </c>
      <c r="T198" s="153"/>
      <c r="U198" s="172"/>
      <c r="V198" s="181"/>
      <c r="W198" s="25"/>
    </row>
    <row r="199" spans="1:25" hidden="1" x14ac:dyDescent="0.25">
      <c r="A199" s="165"/>
      <c r="B199" s="166"/>
      <c r="C199" s="151"/>
      <c r="D199" s="151"/>
      <c r="E199" s="151"/>
      <c r="F199" s="151"/>
      <c r="G199" s="151"/>
      <c r="H199" s="151"/>
      <c r="I199" s="151"/>
      <c r="J199" s="151"/>
      <c r="K199" s="151"/>
      <c r="L199" s="151"/>
      <c r="M199" s="151"/>
      <c r="N199" s="151"/>
      <c r="O199" s="153"/>
      <c r="P199" s="153"/>
      <c r="Q199" s="153"/>
      <c r="R199" s="153"/>
      <c r="S199" s="153"/>
      <c r="T199" s="153"/>
      <c r="U199" s="131"/>
      <c r="V199" s="181"/>
      <c r="W199" s="25"/>
      <c r="X199" s="25"/>
    </row>
    <row r="200" spans="1:25" hidden="1" x14ac:dyDescent="0.25">
      <c r="A200" s="168" t="s">
        <v>392</v>
      </c>
      <c r="B200" s="173"/>
      <c r="C200" s="169"/>
      <c r="D200" s="169"/>
      <c r="E200" s="169"/>
      <c r="F200" s="169"/>
      <c r="G200" s="169"/>
      <c r="H200" s="169"/>
      <c r="I200" s="169"/>
      <c r="J200" s="169"/>
      <c r="K200" s="169"/>
      <c r="L200" s="169"/>
      <c r="M200" s="169"/>
      <c r="N200" s="169"/>
      <c r="O200" s="174"/>
      <c r="P200" s="174"/>
      <c r="Q200" s="174"/>
      <c r="R200" s="174"/>
      <c r="S200" s="175"/>
      <c r="T200" s="175"/>
      <c r="U200" s="131"/>
      <c r="V200" s="181"/>
      <c r="W200" s="25"/>
      <c r="X200" s="25"/>
    </row>
    <row r="201" spans="1:25" hidden="1" x14ac:dyDescent="0.25">
      <c r="A201" s="165" t="s">
        <v>393</v>
      </c>
      <c r="B201" s="156" t="s">
        <v>118</v>
      </c>
      <c r="C201" s="151">
        <v>12</v>
      </c>
      <c r="D201" s="151">
        <v>12</v>
      </c>
      <c r="E201" s="151">
        <v>12</v>
      </c>
      <c r="F201" s="151">
        <v>12</v>
      </c>
      <c r="G201" s="151">
        <v>12</v>
      </c>
      <c r="H201" s="151">
        <v>12</v>
      </c>
      <c r="I201" s="151">
        <v>12</v>
      </c>
      <c r="J201" s="151">
        <v>12</v>
      </c>
      <c r="K201" s="151">
        <v>12</v>
      </c>
      <c r="L201" s="151">
        <v>12</v>
      </c>
      <c r="M201" s="151">
        <v>12</v>
      </c>
      <c r="N201" s="151">
        <v>12</v>
      </c>
      <c r="O201" s="152">
        <v>178.96</v>
      </c>
      <c r="P201" s="152">
        <v>120</v>
      </c>
      <c r="Q201" s="152">
        <v>150</v>
      </c>
      <c r="R201" s="152"/>
      <c r="S201" s="153">
        <v>0</v>
      </c>
      <c r="T201" s="153"/>
      <c r="U201" s="180"/>
      <c r="V201" s="181"/>
      <c r="W201" s="25"/>
      <c r="X201" s="25"/>
      <c r="Y201" s="179"/>
    </row>
    <row r="202" spans="1:25" hidden="1" x14ac:dyDescent="0.25">
      <c r="A202" s="155" t="s">
        <v>394</v>
      </c>
      <c r="B202" s="156" t="s">
        <v>120</v>
      </c>
      <c r="C202" s="151">
        <v>0</v>
      </c>
      <c r="D202" s="151">
        <v>0</v>
      </c>
      <c r="E202" s="151">
        <v>0</v>
      </c>
      <c r="F202" s="151">
        <v>0</v>
      </c>
      <c r="G202" s="151">
        <v>0</v>
      </c>
      <c r="H202" s="151">
        <v>750</v>
      </c>
      <c r="I202" s="151">
        <v>0</v>
      </c>
      <c r="J202" s="151">
        <v>0</v>
      </c>
      <c r="K202" s="151">
        <v>0</v>
      </c>
      <c r="L202" s="151">
        <v>1000</v>
      </c>
      <c r="M202" s="151">
        <v>0</v>
      </c>
      <c r="N202" s="151">
        <v>0</v>
      </c>
      <c r="O202" s="152">
        <v>3368.99</v>
      </c>
      <c r="P202" s="152">
        <v>1914</v>
      </c>
      <c r="Q202" s="152">
        <v>1914</v>
      </c>
      <c r="R202" s="152"/>
      <c r="S202" s="153">
        <f>SUM(C202:N202)</f>
        <v>1750</v>
      </c>
      <c r="T202" s="153"/>
      <c r="U202" s="180"/>
      <c r="V202" s="181"/>
      <c r="W202" s="25"/>
      <c r="X202" s="25"/>
      <c r="Y202" s="179"/>
    </row>
    <row r="203" spans="1:25" hidden="1" x14ac:dyDescent="0.25">
      <c r="A203" s="165" t="s">
        <v>395</v>
      </c>
      <c r="B203" s="156" t="s">
        <v>122</v>
      </c>
      <c r="C203" s="151">
        <v>5</v>
      </c>
      <c r="D203" s="151">
        <v>5</v>
      </c>
      <c r="E203" s="151">
        <v>5</v>
      </c>
      <c r="F203" s="151">
        <v>5</v>
      </c>
      <c r="G203" s="151">
        <v>5</v>
      </c>
      <c r="H203" s="151">
        <v>5</v>
      </c>
      <c r="I203" s="151">
        <v>5</v>
      </c>
      <c r="J203" s="151">
        <v>5</v>
      </c>
      <c r="K203" s="151">
        <v>5</v>
      </c>
      <c r="L203" s="151">
        <v>5</v>
      </c>
      <c r="M203" s="151">
        <v>5</v>
      </c>
      <c r="N203" s="151">
        <v>5</v>
      </c>
      <c r="O203" s="152">
        <v>1253.1500000000001</v>
      </c>
      <c r="P203" s="152">
        <v>0</v>
      </c>
      <c r="Q203" s="152">
        <v>0</v>
      </c>
      <c r="R203" s="152"/>
      <c r="S203" s="153"/>
      <c r="T203" s="153"/>
      <c r="U203" s="180"/>
      <c r="V203" s="181"/>
      <c r="W203" s="25"/>
      <c r="X203" s="25"/>
      <c r="Y203" s="179"/>
    </row>
    <row r="204" spans="1:25" hidden="1" x14ac:dyDescent="0.25">
      <c r="A204" s="155" t="s">
        <v>674</v>
      </c>
      <c r="B204" s="156" t="s">
        <v>396</v>
      </c>
      <c r="C204" s="151">
        <v>0</v>
      </c>
      <c r="D204" s="151">
        <v>0</v>
      </c>
      <c r="E204" s="151">
        <v>0</v>
      </c>
      <c r="F204" s="151">
        <v>0</v>
      </c>
      <c r="G204" s="151">
        <v>0</v>
      </c>
      <c r="H204" s="151">
        <v>0</v>
      </c>
      <c r="I204" s="151">
        <v>0</v>
      </c>
      <c r="J204" s="151">
        <v>0</v>
      </c>
      <c r="K204" s="151">
        <v>0</v>
      </c>
      <c r="L204" s="151">
        <v>0</v>
      </c>
      <c r="M204" s="151">
        <v>0</v>
      </c>
      <c r="N204" s="151">
        <v>0</v>
      </c>
      <c r="O204" s="152">
        <v>207.82</v>
      </c>
      <c r="P204" s="152">
        <v>1000</v>
      </c>
      <c r="Q204" s="152">
        <v>50</v>
      </c>
      <c r="R204" s="152"/>
      <c r="S204" s="153">
        <f>SUM(C204:N204)</f>
        <v>0</v>
      </c>
      <c r="T204" s="153"/>
      <c r="U204" s="180"/>
      <c r="X204" s="25"/>
      <c r="Y204" s="179"/>
    </row>
    <row r="205" spans="1:25" hidden="1" x14ac:dyDescent="0.25">
      <c r="A205" s="155" t="s">
        <v>676</v>
      </c>
      <c r="B205" s="156" t="s">
        <v>124</v>
      </c>
      <c r="C205" s="151">
        <v>3</v>
      </c>
      <c r="D205" s="151">
        <v>3</v>
      </c>
      <c r="E205" s="151">
        <v>3</v>
      </c>
      <c r="F205" s="151">
        <v>3</v>
      </c>
      <c r="G205" s="151">
        <v>3</v>
      </c>
      <c r="H205" s="151">
        <v>3</v>
      </c>
      <c r="I205" s="151">
        <v>3</v>
      </c>
      <c r="J205" s="151">
        <v>3</v>
      </c>
      <c r="K205" s="151">
        <v>3</v>
      </c>
      <c r="L205" s="151">
        <v>3</v>
      </c>
      <c r="M205" s="151">
        <v>3</v>
      </c>
      <c r="N205" s="151">
        <v>3</v>
      </c>
      <c r="O205" s="152">
        <v>42.25</v>
      </c>
      <c r="P205" s="152">
        <v>144</v>
      </c>
      <c r="Q205" s="152">
        <v>0</v>
      </c>
      <c r="R205" s="152"/>
      <c r="S205" s="153"/>
      <c r="T205" s="153"/>
      <c r="U205" s="180"/>
      <c r="Y205" s="179"/>
    </row>
    <row r="206" spans="1:25" hidden="1" x14ac:dyDescent="0.25">
      <c r="A206" s="155" t="s">
        <v>398</v>
      </c>
      <c r="B206" s="156" t="s">
        <v>126</v>
      </c>
      <c r="C206" s="151">
        <v>0</v>
      </c>
      <c r="D206" s="151">
        <v>0</v>
      </c>
      <c r="E206" s="151">
        <v>0</v>
      </c>
      <c r="F206" s="151">
        <v>1000</v>
      </c>
      <c r="G206" s="151">
        <v>0</v>
      </c>
      <c r="H206" s="151">
        <v>0</v>
      </c>
      <c r="I206" s="151">
        <v>0</v>
      </c>
      <c r="J206" s="151"/>
      <c r="K206" s="151">
        <v>1000</v>
      </c>
      <c r="L206" s="151">
        <v>1000</v>
      </c>
      <c r="M206" s="151">
        <v>0</v>
      </c>
      <c r="N206" s="151">
        <v>0</v>
      </c>
      <c r="O206" s="152">
        <v>1379.86</v>
      </c>
      <c r="P206" s="152">
        <v>5200</v>
      </c>
      <c r="Q206" s="152">
        <v>2000</v>
      </c>
      <c r="R206" s="152"/>
      <c r="S206" s="153">
        <v>2000</v>
      </c>
      <c r="T206" s="153"/>
      <c r="U206" s="180"/>
      <c r="Y206" s="179"/>
    </row>
    <row r="207" spans="1:25" hidden="1" x14ac:dyDescent="0.25">
      <c r="A207" s="155" t="s">
        <v>398</v>
      </c>
      <c r="B207" s="156" t="s">
        <v>132</v>
      </c>
      <c r="C207" s="151">
        <v>0</v>
      </c>
      <c r="D207" s="151">
        <v>0</v>
      </c>
      <c r="E207" s="151">
        <v>0</v>
      </c>
      <c r="F207" s="151">
        <v>0</v>
      </c>
      <c r="G207" s="151">
        <v>0</v>
      </c>
      <c r="H207" s="151">
        <v>0</v>
      </c>
      <c r="I207" s="151">
        <v>0</v>
      </c>
      <c r="J207" s="151">
        <v>0</v>
      </c>
      <c r="K207" s="151">
        <v>0</v>
      </c>
      <c r="L207" s="151">
        <v>0</v>
      </c>
      <c r="M207" s="151">
        <v>0</v>
      </c>
      <c r="N207" s="151">
        <v>0</v>
      </c>
      <c r="O207" s="152">
        <v>3334.74</v>
      </c>
      <c r="P207" s="152">
        <v>0</v>
      </c>
      <c r="Q207" s="152">
        <v>0</v>
      </c>
      <c r="R207" s="152"/>
      <c r="S207" s="153">
        <v>0</v>
      </c>
      <c r="T207" s="153"/>
      <c r="U207" s="180"/>
      <c r="Y207" s="179">
        <f>SUM(Y201:Y206)</f>
        <v>0</v>
      </c>
    </row>
    <row r="208" spans="1:25" hidden="1" x14ac:dyDescent="0.25">
      <c r="A208" s="155" t="s">
        <v>400</v>
      </c>
      <c r="B208" s="156" t="s">
        <v>401</v>
      </c>
      <c r="C208" s="151">
        <v>0</v>
      </c>
      <c r="D208" s="151">
        <v>0</v>
      </c>
      <c r="E208" s="151">
        <v>0</v>
      </c>
      <c r="F208" s="151">
        <v>0</v>
      </c>
      <c r="G208" s="151">
        <v>0</v>
      </c>
      <c r="H208" s="151">
        <v>0</v>
      </c>
      <c r="I208" s="151">
        <v>0</v>
      </c>
      <c r="J208" s="151">
        <v>0</v>
      </c>
      <c r="K208" s="151">
        <v>0</v>
      </c>
      <c r="L208" s="151">
        <v>0</v>
      </c>
      <c r="M208" s="151">
        <v>0</v>
      </c>
      <c r="N208" s="151">
        <v>0</v>
      </c>
      <c r="O208" s="152">
        <v>3856.67</v>
      </c>
      <c r="P208" s="152">
        <v>6000</v>
      </c>
      <c r="Q208" s="152">
        <v>3290</v>
      </c>
      <c r="R208" s="152"/>
      <c r="S208" s="153">
        <v>4000</v>
      </c>
      <c r="T208" s="153"/>
      <c r="U208" s="180"/>
      <c r="X208" s="25"/>
      <c r="Y208" s="179"/>
    </row>
    <row r="209" spans="1:24" hidden="1" x14ac:dyDescent="0.25">
      <c r="A209" s="155" t="s">
        <v>397</v>
      </c>
      <c r="B209" s="156" t="s">
        <v>402</v>
      </c>
      <c r="C209" s="151">
        <v>0</v>
      </c>
      <c r="D209" s="151">
        <v>0</v>
      </c>
      <c r="E209" s="151">
        <v>0</v>
      </c>
      <c r="F209" s="151">
        <v>750</v>
      </c>
      <c r="G209" s="151">
        <v>0</v>
      </c>
      <c r="H209" s="151">
        <v>0</v>
      </c>
      <c r="I209" s="151">
        <v>0</v>
      </c>
      <c r="J209" s="151">
        <v>0</v>
      </c>
      <c r="K209" s="151">
        <v>0</v>
      </c>
      <c r="L209" s="151">
        <v>750</v>
      </c>
      <c r="M209" s="151">
        <v>0</v>
      </c>
      <c r="N209" s="151">
        <v>0</v>
      </c>
      <c r="O209" s="152">
        <v>4300</v>
      </c>
      <c r="P209" s="152">
        <v>8000</v>
      </c>
      <c r="Q209" s="152">
        <v>5000</v>
      </c>
      <c r="R209" s="152"/>
      <c r="S209" s="153">
        <v>5000</v>
      </c>
      <c r="T209" s="153"/>
      <c r="U209" s="131"/>
    </row>
    <row r="210" spans="1:24" hidden="1" x14ac:dyDescent="0.25">
      <c r="A210" s="155" t="s">
        <v>403</v>
      </c>
      <c r="B210" s="156" t="s">
        <v>404</v>
      </c>
      <c r="C210" s="151">
        <v>300</v>
      </c>
      <c r="D210" s="151">
        <v>0</v>
      </c>
      <c r="E210" s="151">
        <v>0</v>
      </c>
      <c r="F210" s="151">
        <v>0</v>
      </c>
      <c r="G210" s="151">
        <v>0</v>
      </c>
      <c r="H210" s="151">
        <v>0</v>
      </c>
      <c r="I210" s="151">
        <v>0</v>
      </c>
      <c r="J210" s="151">
        <v>1500</v>
      </c>
      <c r="K210" s="151">
        <v>0</v>
      </c>
      <c r="L210" s="151">
        <v>0</v>
      </c>
      <c r="M210" s="151">
        <v>0</v>
      </c>
      <c r="N210" s="151">
        <v>0</v>
      </c>
      <c r="O210" s="152">
        <v>0</v>
      </c>
      <c r="P210" s="152">
        <v>2000</v>
      </c>
      <c r="Q210" s="152">
        <v>0</v>
      </c>
      <c r="R210" s="152"/>
      <c r="S210" s="153">
        <v>1000</v>
      </c>
      <c r="T210" s="153"/>
      <c r="U210" s="131"/>
    </row>
    <row r="211" spans="1:24" hidden="1" x14ac:dyDescent="0.25">
      <c r="A211" s="155" t="s">
        <v>405</v>
      </c>
      <c r="B211" s="156" t="s">
        <v>134</v>
      </c>
      <c r="C211" s="151">
        <v>0</v>
      </c>
      <c r="D211" s="151">
        <v>0</v>
      </c>
      <c r="E211" s="151">
        <v>0</v>
      </c>
      <c r="F211" s="151">
        <v>3000</v>
      </c>
      <c r="G211" s="151">
        <v>0</v>
      </c>
      <c r="H211" s="151">
        <v>0</v>
      </c>
      <c r="I211" s="151">
        <v>0</v>
      </c>
      <c r="J211" s="151">
        <v>0</v>
      </c>
      <c r="K211" s="151">
        <v>2000</v>
      </c>
      <c r="L211" s="151">
        <v>0</v>
      </c>
      <c r="M211" s="151">
        <v>0</v>
      </c>
      <c r="N211" s="151">
        <v>0</v>
      </c>
      <c r="O211" s="152">
        <v>3632.92</v>
      </c>
      <c r="P211" s="152">
        <v>10000</v>
      </c>
      <c r="Q211" s="152">
        <v>8000</v>
      </c>
      <c r="R211" s="152"/>
      <c r="S211" s="153">
        <f>SUM(C211:N211)</f>
        <v>5000</v>
      </c>
      <c r="T211" s="153"/>
      <c r="U211" s="131"/>
    </row>
    <row r="212" spans="1:24" hidden="1" x14ac:dyDescent="0.25">
      <c r="A212" s="155" t="s">
        <v>407</v>
      </c>
      <c r="B212" s="156" t="s">
        <v>408</v>
      </c>
      <c r="C212" s="151">
        <v>0</v>
      </c>
      <c r="D212" s="151">
        <v>0</v>
      </c>
      <c r="E212" s="151">
        <v>0</v>
      </c>
      <c r="F212" s="151">
        <v>500</v>
      </c>
      <c r="G212" s="151">
        <v>0</v>
      </c>
      <c r="H212" s="151">
        <v>0</v>
      </c>
      <c r="I212" s="151">
        <v>0</v>
      </c>
      <c r="J212" s="151">
        <v>0</v>
      </c>
      <c r="K212" s="151">
        <v>500</v>
      </c>
      <c r="L212" s="151">
        <v>500</v>
      </c>
      <c r="M212" s="151">
        <v>0</v>
      </c>
      <c r="N212" s="151">
        <v>0</v>
      </c>
      <c r="O212" s="152">
        <v>3354.94</v>
      </c>
      <c r="P212" s="152">
        <v>0</v>
      </c>
      <c r="Q212" s="152">
        <v>0</v>
      </c>
      <c r="R212" s="152"/>
      <c r="S212" s="153">
        <f>SUM(C212:N212)</f>
        <v>1500</v>
      </c>
      <c r="T212" s="153"/>
      <c r="U212" s="172"/>
    </row>
    <row r="213" spans="1:24" hidden="1" x14ac:dyDescent="0.25">
      <c r="A213" s="165"/>
      <c r="B213" s="166"/>
      <c r="C213" s="167"/>
      <c r="D213" s="167"/>
      <c r="E213" s="167"/>
      <c r="F213" s="167"/>
      <c r="G213" s="167"/>
      <c r="H213" s="167"/>
      <c r="I213" s="167"/>
      <c r="J213" s="167"/>
      <c r="K213" s="167"/>
      <c r="L213" s="167"/>
      <c r="M213" s="167"/>
      <c r="N213" s="167"/>
      <c r="O213" s="152"/>
      <c r="P213" s="152"/>
      <c r="Q213" s="152"/>
      <c r="R213" s="152"/>
      <c r="S213" s="153"/>
      <c r="T213" s="153"/>
      <c r="U213" s="131"/>
    </row>
    <row r="214" spans="1:24" x14ac:dyDescent="0.25">
      <c r="A214" s="165" t="s">
        <v>207</v>
      </c>
      <c r="B214" s="166"/>
      <c r="C214" s="167"/>
      <c r="D214" s="167"/>
      <c r="E214" s="167"/>
      <c r="F214" s="167"/>
      <c r="G214" s="167"/>
      <c r="H214" s="167"/>
      <c r="I214" s="167"/>
      <c r="J214" s="167"/>
      <c r="K214" s="167"/>
      <c r="L214" s="167"/>
      <c r="M214" s="167"/>
      <c r="N214" s="167"/>
      <c r="O214" s="152">
        <v>242915</v>
      </c>
      <c r="P214" s="152">
        <v>208792</v>
      </c>
      <c r="Q214" s="152">
        <f>SUM(Q215:Q250)</f>
        <v>242915</v>
      </c>
      <c r="R214" s="152">
        <v>310055</v>
      </c>
      <c r="S214" s="152">
        <v>310055</v>
      </c>
      <c r="T214" s="152">
        <f>+'Draft 2021 Budget'!E195</f>
        <v>288664</v>
      </c>
      <c r="U214" s="131"/>
      <c r="V214" s="8"/>
    </row>
    <row r="215" spans="1:24" hidden="1" x14ac:dyDescent="0.25">
      <c r="A215" s="165" t="s">
        <v>531</v>
      </c>
      <c r="B215" s="156" t="s">
        <v>909</v>
      </c>
      <c r="C215" s="151">
        <v>0</v>
      </c>
      <c r="D215" s="151">
        <v>0</v>
      </c>
      <c r="E215" s="151">
        <v>0</v>
      </c>
      <c r="F215" s="151">
        <v>0</v>
      </c>
      <c r="G215" s="151">
        <v>0</v>
      </c>
      <c r="H215" s="151">
        <v>0</v>
      </c>
      <c r="I215" s="151">
        <v>0</v>
      </c>
      <c r="J215" s="151">
        <v>0</v>
      </c>
      <c r="K215" s="151">
        <v>0</v>
      </c>
      <c r="L215" s="151">
        <v>0</v>
      </c>
      <c r="M215" s="151">
        <v>0</v>
      </c>
      <c r="N215" s="151">
        <v>0</v>
      </c>
      <c r="O215" s="152">
        <v>0</v>
      </c>
      <c r="P215" s="152">
        <v>0</v>
      </c>
      <c r="Q215" s="152">
        <v>11497</v>
      </c>
      <c r="R215" s="152"/>
      <c r="S215" s="153">
        <f>SUM(C215:N215)</f>
        <v>0</v>
      </c>
      <c r="T215" s="153"/>
      <c r="U215" s="131"/>
    </row>
    <row r="216" spans="1:24" hidden="1" x14ac:dyDescent="0.25">
      <c r="A216" s="155" t="s">
        <v>208</v>
      </c>
      <c r="B216" s="156" t="s">
        <v>118</v>
      </c>
      <c r="C216" s="151">
        <v>0</v>
      </c>
      <c r="D216" s="151">
        <v>0</v>
      </c>
      <c r="E216" s="151">
        <v>0</v>
      </c>
      <c r="F216" s="151">
        <v>0</v>
      </c>
      <c r="G216" s="151">
        <v>0</v>
      </c>
      <c r="H216" s="151">
        <v>0</v>
      </c>
      <c r="I216" s="151">
        <v>0</v>
      </c>
      <c r="J216" s="151">
        <v>0</v>
      </c>
      <c r="K216" s="151">
        <v>0</v>
      </c>
      <c r="L216" s="151">
        <v>0</v>
      </c>
      <c r="M216" s="151">
        <v>0</v>
      </c>
      <c r="N216" s="151">
        <v>0</v>
      </c>
      <c r="O216" s="152">
        <v>1656.89</v>
      </c>
      <c r="P216" s="152">
        <v>1700</v>
      </c>
      <c r="Q216" s="152">
        <v>1822</v>
      </c>
      <c r="R216" s="152"/>
      <c r="S216" s="192">
        <v>0</v>
      </c>
      <c r="T216" s="192"/>
      <c r="U216" s="131" t="s">
        <v>870</v>
      </c>
      <c r="V216" s="181"/>
      <c r="X216" s="5"/>
    </row>
    <row r="217" spans="1:24" hidden="1" x14ac:dyDescent="0.25">
      <c r="A217" s="155" t="s">
        <v>209</v>
      </c>
      <c r="B217" s="156" t="s">
        <v>120</v>
      </c>
      <c r="C217" s="151">
        <v>0</v>
      </c>
      <c r="D217" s="151">
        <v>0</v>
      </c>
      <c r="E217" s="151">
        <v>0</v>
      </c>
      <c r="F217" s="151">
        <v>0</v>
      </c>
      <c r="G217" s="151">
        <v>0</v>
      </c>
      <c r="H217" s="151">
        <v>0</v>
      </c>
      <c r="I217" s="151">
        <v>0</v>
      </c>
      <c r="J217" s="151">
        <v>0</v>
      </c>
      <c r="K217" s="151">
        <v>0</v>
      </c>
      <c r="L217" s="151">
        <v>0</v>
      </c>
      <c r="M217" s="151">
        <v>0</v>
      </c>
      <c r="N217" s="151">
        <v>0</v>
      </c>
      <c r="O217" s="152">
        <v>1072.23</v>
      </c>
      <c r="P217" s="152">
        <v>700</v>
      </c>
      <c r="Q217" s="152">
        <v>714</v>
      </c>
      <c r="R217" s="152"/>
      <c r="S217" s="192">
        <v>700</v>
      </c>
      <c r="T217" s="192"/>
      <c r="U217" s="131"/>
      <c r="V217" s="181"/>
      <c r="X217" s="5"/>
    </row>
    <row r="218" spans="1:24" hidden="1" x14ac:dyDescent="0.25">
      <c r="A218" s="155" t="s">
        <v>210</v>
      </c>
      <c r="B218" s="156" t="s">
        <v>122</v>
      </c>
      <c r="C218" s="151">
        <v>0</v>
      </c>
      <c r="D218" s="151">
        <v>0</v>
      </c>
      <c r="E218" s="151">
        <v>0</v>
      </c>
      <c r="F218" s="151">
        <v>0</v>
      </c>
      <c r="G218" s="151">
        <v>0</v>
      </c>
      <c r="H218" s="151">
        <v>0</v>
      </c>
      <c r="I218" s="151">
        <v>0</v>
      </c>
      <c r="J218" s="151">
        <v>0</v>
      </c>
      <c r="K218" s="151">
        <v>0</v>
      </c>
      <c r="L218" s="151">
        <v>0</v>
      </c>
      <c r="M218" s="151">
        <v>0</v>
      </c>
      <c r="N218" s="151">
        <v>0</v>
      </c>
      <c r="O218" s="152">
        <v>900.77</v>
      </c>
      <c r="P218" s="152">
        <v>900</v>
      </c>
      <c r="Q218" s="152">
        <v>620</v>
      </c>
      <c r="R218" s="152"/>
      <c r="S218" s="192">
        <v>700</v>
      </c>
      <c r="T218" s="192"/>
      <c r="U218" s="131"/>
      <c r="V218" s="181"/>
      <c r="X218" s="5"/>
    </row>
    <row r="219" spans="1:24" hidden="1" x14ac:dyDescent="0.25">
      <c r="A219" s="155" t="s">
        <v>211</v>
      </c>
      <c r="B219" s="156" t="s">
        <v>124</v>
      </c>
      <c r="C219" s="151">
        <v>0</v>
      </c>
      <c r="D219" s="151">
        <v>0</v>
      </c>
      <c r="E219" s="151">
        <v>0</v>
      </c>
      <c r="F219" s="151">
        <v>0</v>
      </c>
      <c r="G219" s="151">
        <v>0</v>
      </c>
      <c r="H219" s="151">
        <v>0</v>
      </c>
      <c r="I219" s="151">
        <v>0</v>
      </c>
      <c r="J219" s="151">
        <v>0</v>
      </c>
      <c r="K219" s="151">
        <v>0</v>
      </c>
      <c r="L219" s="151">
        <v>0</v>
      </c>
      <c r="M219" s="151">
        <v>0</v>
      </c>
      <c r="N219" s="151">
        <v>0</v>
      </c>
      <c r="O219" s="152">
        <v>100</v>
      </c>
      <c r="P219" s="152">
        <v>60</v>
      </c>
      <c r="Q219" s="152">
        <v>15</v>
      </c>
      <c r="R219" s="152"/>
      <c r="S219" s="192"/>
      <c r="T219" s="192"/>
      <c r="U219" s="131"/>
      <c r="V219" s="181"/>
      <c r="X219" s="5"/>
    </row>
    <row r="220" spans="1:24" hidden="1" x14ac:dyDescent="0.25">
      <c r="A220" s="155" t="s">
        <v>212</v>
      </c>
      <c r="B220" s="156" t="s">
        <v>213</v>
      </c>
      <c r="C220" s="151">
        <v>0</v>
      </c>
      <c r="D220" s="151">
        <v>0</v>
      </c>
      <c r="E220" s="151">
        <v>0</v>
      </c>
      <c r="F220" s="151">
        <v>0</v>
      </c>
      <c r="G220" s="151">
        <v>0</v>
      </c>
      <c r="H220" s="151">
        <v>0</v>
      </c>
      <c r="I220" s="151">
        <v>0</v>
      </c>
      <c r="J220" s="151">
        <v>0</v>
      </c>
      <c r="K220" s="151">
        <v>0</v>
      </c>
      <c r="L220" s="151">
        <v>0</v>
      </c>
      <c r="M220" s="151">
        <v>0</v>
      </c>
      <c r="N220" s="151">
        <v>0</v>
      </c>
      <c r="O220" s="152">
        <v>1500</v>
      </c>
      <c r="P220" s="152">
        <v>2500</v>
      </c>
      <c r="Q220" s="152">
        <v>2582</v>
      </c>
      <c r="R220" s="152"/>
      <c r="S220" s="192">
        <v>2600</v>
      </c>
      <c r="T220" s="192"/>
      <c r="U220" s="131"/>
      <c r="V220" s="181"/>
      <c r="X220" s="5"/>
    </row>
    <row r="221" spans="1:24" hidden="1" x14ac:dyDescent="0.25">
      <c r="A221" s="155" t="s">
        <v>214</v>
      </c>
      <c r="B221" s="156" t="s">
        <v>126</v>
      </c>
      <c r="C221" s="151">
        <v>0</v>
      </c>
      <c r="D221" s="151">
        <v>0</v>
      </c>
      <c r="E221" s="151">
        <v>0</v>
      </c>
      <c r="F221" s="151">
        <v>0</v>
      </c>
      <c r="G221" s="151">
        <v>0</v>
      </c>
      <c r="H221" s="151">
        <v>0</v>
      </c>
      <c r="I221" s="151">
        <v>0</v>
      </c>
      <c r="J221" s="151">
        <v>0</v>
      </c>
      <c r="K221" s="151">
        <v>0</v>
      </c>
      <c r="L221" s="151">
        <v>0</v>
      </c>
      <c r="M221" s="151">
        <v>0</v>
      </c>
      <c r="N221" s="151">
        <v>0</v>
      </c>
      <c r="O221" s="152">
        <v>3702.24</v>
      </c>
      <c r="P221" s="152">
        <v>8000</v>
      </c>
      <c r="Q221" s="152">
        <v>11532</v>
      </c>
      <c r="R221" s="152"/>
      <c r="S221" s="192">
        <v>6000</v>
      </c>
      <c r="T221" s="192"/>
      <c r="U221" s="131"/>
      <c r="V221" s="181"/>
      <c r="X221" s="5"/>
    </row>
    <row r="222" spans="1:24" hidden="1" x14ac:dyDescent="0.25">
      <c r="A222" s="155" t="s">
        <v>215</v>
      </c>
      <c r="B222" s="156" t="s">
        <v>216</v>
      </c>
      <c r="C222" s="151">
        <v>0</v>
      </c>
      <c r="D222" s="151">
        <v>0</v>
      </c>
      <c r="E222" s="151">
        <v>0</v>
      </c>
      <c r="F222" s="151">
        <v>0</v>
      </c>
      <c r="G222" s="151">
        <v>0</v>
      </c>
      <c r="H222" s="151">
        <v>0</v>
      </c>
      <c r="I222" s="151">
        <v>0</v>
      </c>
      <c r="J222" s="151">
        <v>0</v>
      </c>
      <c r="K222" s="151">
        <v>0</v>
      </c>
      <c r="L222" s="151">
        <v>0</v>
      </c>
      <c r="M222" s="151">
        <v>0</v>
      </c>
      <c r="N222" s="151">
        <v>0</v>
      </c>
      <c r="O222" s="152">
        <v>2155.81</v>
      </c>
      <c r="P222" s="152">
        <v>1000</v>
      </c>
      <c r="Q222" s="152">
        <v>344</v>
      </c>
      <c r="R222" s="152"/>
      <c r="S222" s="192">
        <v>3000</v>
      </c>
      <c r="T222" s="192"/>
      <c r="U222" s="131"/>
      <c r="V222" s="197"/>
      <c r="X222" s="23"/>
    </row>
    <row r="223" spans="1:24" hidden="1" x14ac:dyDescent="0.25">
      <c r="A223" s="155" t="s">
        <v>217</v>
      </c>
      <c r="B223" s="156" t="s">
        <v>218</v>
      </c>
      <c r="C223" s="151">
        <v>0</v>
      </c>
      <c r="D223" s="151">
        <v>0</v>
      </c>
      <c r="E223" s="151">
        <v>0</v>
      </c>
      <c r="F223" s="151">
        <v>0</v>
      </c>
      <c r="G223" s="151">
        <v>0</v>
      </c>
      <c r="H223" s="151">
        <v>0</v>
      </c>
      <c r="I223" s="151">
        <v>0</v>
      </c>
      <c r="J223" s="151">
        <v>0</v>
      </c>
      <c r="K223" s="151">
        <v>0</v>
      </c>
      <c r="L223" s="151">
        <v>0</v>
      </c>
      <c r="M223" s="151">
        <v>0</v>
      </c>
      <c r="N223" s="151">
        <v>0</v>
      </c>
      <c r="O223" s="152">
        <v>0</v>
      </c>
      <c r="P223" s="152">
        <v>1500</v>
      </c>
      <c r="Q223" s="152">
        <v>503</v>
      </c>
      <c r="R223" s="152"/>
      <c r="S223" s="192">
        <v>1500</v>
      </c>
      <c r="T223" s="192"/>
      <c r="U223" s="131"/>
      <c r="V223" s="181"/>
      <c r="X223" s="5"/>
    </row>
    <row r="224" spans="1:24" hidden="1" x14ac:dyDescent="0.25">
      <c r="A224" s="155" t="s">
        <v>219</v>
      </c>
      <c r="B224" s="156" t="s">
        <v>220</v>
      </c>
      <c r="C224" s="151">
        <v>0</v>
      </c>
      <c r="D224" s="151">
        <v>0</v>
      </c>
      <c r="E224" s="151">
        <v>0</v>
      </c>
      <c r="F224" s="151">
        <v>0</v>
      </c>
      <c r="G224" s="151">
        <v>0</v>
      </c>
      <c r="H224" s="151">
        <v>0</v>
      </c>
      <c r="I224" s="151">
        <v>0</v>
      </c>
      <c r="J224" s="151">
        <v>0</v>
      </c>
      <c r="K224" s="151">
        <v>0</v>
      </c>
      <c r="L224" s="151">
        <v>0</v>
      </c>
      <c r="M224" s="151">
        <v>0</v>
      </c>
      <c r="N224" s="151">
        <v>0</v>
      </c>
      <c r="O224" s="152">
        <v>3000</v>
      </c>
      <c r="P224" s="152">
        <v>7000</v>
      </c>
      <c r="Q224" s="152">
        <v>5000</v>
      </c>
      <c r="R224" s="152"/>
      <c r="S224" s="192">
        <v>7500</v>
      </c>
      <c r="T224" s="192"/>
      <c r="U224" s="131"/>
      <c r="V224" s="181"/>
      <c r="X224" s="5"/>
    </row>
    <row r="225" spans="1:24" hidden="1" x14ac:dyDescent="0.25">
      <c r="A225" s="155" t="s">
        <v>221</v>
      </c>
      <c r="B225" s="156" t="s">
        <v>222</v>
      </c>
      <c r="C225" s="151">
        <v>0</v>
      </c>
      <c r="D225" s="151">
        <v>0</v>
      </c>
      <c r="E225" s="151">
        <v>0</v>
      </c>
      <c r="F225" s="151">
        <v>0</v>
      </c>
      <c r="G225" s="151">
        <v>0</v>
      </c>
      <c r="H225" s="151">
        <v>0</v>
      </c>
      <c r="I225" s="151">
        <v>0</v>
      </c>
      <c r="J225" s="151">
        <v>0</v>
      </c>
      <c r="K225" s="151">
        <v>0</v>
      </c>
      <c r="L225" s="151">
        <v>0</v>
      </c>
      <c r="M225" s="151">
        <v>0</v>
      </c>
      <c r="N225" s="151">
        <v>0</v>
      </c>
      <c r="O225" s="152">
        <v>660</v>
      </c>
      <c r="P225" s="152">
        <v>2200</v>
      </c>
      <c r="Q225" s="152">
        <v>2110</v>
      </c>
      <c r="R225" s="152"/>
      <c r="S225" s="192">
        <v>2200</v>
      </c>
      <c r="T225" s="192"/>
      <c r="U225" s="131"/>
      <c r="V225" s="181"/>
      <c r="X225" s="5"/>
    </row>
    <row r="226" spans="1:24" hidden="1" x14ac:dyDescent="0.25">
      <c r="A226" s="155" t="s">
        <v>223</v>
      </c>
      <c r="B226" s="156" t="s">
        <v>224</v>
      </c>
      <c r="C226" s="151">
        <v>0</v>
      </c>
      <c r="D226" s="151">
        <v>0</v>
      </c>
      <c r="E226" s="151">
        <v>0</v>
      </c>
      <c r="F226" s="151">
        <v>0</v>
      </c>
      <c r="G226" s="151">
        <v>0</v>
      </c>
      <c r="H226" s="151">
        <v>0</v>
      </c>
      <c r="I226" s="151">
        <v>0</v>
      </c>
      <c r="J226" s="151">
        <v>0</v>
      </c>
      <c r="K226" s="151">
        <v>0</v>
      </c>
      <c r="L226" s="151">
        <v>0</v>
      </c>
      <c r="M226" s="151">
        <v>0</v>
      </c>
      <c r="N226" s="151">
        <v>0</v>
      </c>
      <c r="O226" s="152">
        <v>9705.9</v>
      </c>
      <c r="P226" s="152">
        <v>10000</v>
      </c>
      <c r="Q226" s="152">
        <v>7594</v>
      </c>
      <c r="R226" s="152"/>
      <c r="S226" s="192">
        <v>8000</v>
      </c>
      <c r="T226" s="192"/>
      <c r="U226" s="131"/>
      <c r="V226" s="181"/>
      <c r="X226" s="5"/>
    </row>
    <row r="227" spans="1:24" ht="19.5" hidden="1" x14ac:dyDescent="0.25">
      <c r="A227" s="155" t="s">
        <v>225</v>
      </c>
      <c r="B227" s="156" t="s">
        <v>226</v>
      </c>
      <c r="C227" s="151">
        <v>0</v>
      </c>
      <c r="D227" s="151">
        <v>0</v>
      </c>
      <c r="E227" s="151">
        <v>0</v>
      </c>
      <c r="F227" s="151">
        <v>0</v>
      </c>
      <c r="G227" s="151">
        <v>0</v>
      </c>
      <c r="H227" s="151">
        <v>0</v>
      </c>
      <c r="I227" s="151">
        <v>0</v>
      </c>
      <c r="J227" s="151">
        <v>0</v>
      </c>
      <c r="K227" s="151">
        <v>0</v>
      </c>
      <c r="L227" s="151">
        <v>0</v>
      </c>
      <c r="M227" s="151">
        <v>0</v>
      </c>
      <c r="N227" s="151">
        <v>0</v>
      </c>
      <c r="O227" s="152">
        <v>17500</v>
      </c>
      <c r="P227" s="152">
        <v>17500</v>
      </c>
      <c r="Q227" s="152">
        <v>19024</v>
      </c>
      <c r="R227" s="152"/>
      <c r="S227" s="192">
        <v>21850</v>
      </c>
      <c r="T227" s="192"/>
      <c r="U227" s="131" t="s">
        <v>910</v>
      </c>
      <c r="V227" s="181"/>
    </row>
    <row r="228" spans="1:24" hidden="1" x14ac:dyDescent="0.25">
      <c r="A228" s="155" t="s">
        <v>227</v>
      </c>
      <c r="B228" s="156" t="s">
        <v>203</v>
      </c>
      <c r="C228" s="151">
        <v>0</v>
      </c>
      <c r="D228" s="151">
        <v>0</v>
      </c>
      <c r="E228" s="151">
        <v>0</v>
      </c>
      <c r="F228" s="151">
        <v>0</v>
      </c>
      <c r="G228" s="151">
        <v>0</v>
      </c>
      <c r="H228" s="151">
        <v>0</v>
      </c>
      <c r="I228" s="151">
        <v>0</v>
      </c>
      <c r="J228" s="151">
        <v>0</v>
      </c>
      <c r="K228" s="151">
        <v>0</v>
      </c>
      <c r="L228" s="151">
        <v>0</v>
      </c>
      <c r="M228" s="151">
        <v>0</v>
      </c>
      <c r="N228" s="151">
        <v>0</v>
      </c>
      <c r="O228" s="152">
        <v>1000</v>
      </c>
      <c r="P228" s="152">
        <v>1550</v>
      </c>
      <c r="Q228" s="152">
        <v>3493</v>
      </c>
      <c r="R228" s="152"/>
      <c r="S228" s="192">
        <v>1200</v>
      </c>
      <c r="T228" s="192"/>
      <c r="U228" s="131"/>
      <c r="V228" s="181"/>
      <c r="X228" s="5"/>
    </row>
    <row r="229" spans="1:24" hidden="1" x14ac:dyDescent="0.25">
      <c r="A229" s="155" t="s">
        <v>228</v>
      </c>
      <c r="B229" s="156" t="s">
        <v>229</v>
      </c>
      <c r="C229" s="151">
        <v>0</v>
      </c>
      <c r="D229" s="151">
        <v>0</v>
      </c>
      <c r="E229" s="151">
        <v>0</v>
      </c>
      <c r="F229" s="151">
        <v>0</v>
      </c>
      <c r="G229" s="151">
        <v>0</v>
      </c>
      <c r="H229" s="151">
        <v>0</v>
      </c>
      <c r="I229" s="151">
        <v>0</v>
      </c>
      <c r="J229" s="151">
        <v>0</v>
      </c>
      <c r="K229" s="151">
        <v>0</v>
      </c>
      <c r="L229" s="151">
        <v>0</v>
      </c>
      <c r="M229" s="151">
        <v>0</v>
      </c>
      <c r="N229" s="151">
        <v>0</v>
      </c>
      <c r="O229" s="152">
        <v>7688.36</v>
      </c>
      <c r="P229" s="152">
        <v>5812</v>
      </c>
      <c r="Q229" s="152">
        <v>10896</v>
      </c>
      <c r="R229" s="152"/>
      <c r="S229" s="192">
        <v>13677</v>
      </c>
      <c r="T229" s="192"/>
      <c r="U229" s="131"/>
      <c r="V229" s="24"/>
      <c r="X229" s="23"/>
    </row>
    <row r="230" spans="1:24" hidden="1" x14ac:dyDescent="0.25">
      <c r="A230" s="155" t="s">
        <v>230</v>
      </c>
      <c r="B230" s="156" t="s">
        <v>231</v>
      </c>
      <c r="C230" s="151">
        <v>0</v>
      </c>
      <c r="D230" s="151">
        <v>0</v>
      </c>
      <c r="E230" s="151">
        <v>0</v>
      </c>
      <c r="F230" s="151">
        <v>0</v>
      </c>
      <c r="G230" s="151">
        <v>0</v>
      </c>
      <c r="H230" s="151">
        <v>0</v>
      </c>
      <c r="I230" s="151">
        <v>0</v>
      </c>
      <c r="J230" s="151">
        <v>0</v>
      </c>
      <c r="K230" s="151">
        <v>0</v>
      </c>
      <c r="L230" s="151">
        <v>0</v>
      </c>
      <c r="M230" s="151">
        <v>0</v>
      </c>
      <c r="N230" s="151">
        <v>0</v>
      </c>
      <c r="O230" s="152">
        <v>5642.05</v>
      </c>
      <c r="P230" s="152">
        <v>4600</v>
      </c>
      <c r="Q230" s="152">
        <v>4891</v>
      </c>
      <c r="R230" s="152"/>
      <c r="S230" s="192">
        <v>4920</v>
      </c>
      <c r="T230" s="192"/>
      <c r="U230" s="198" t="s">
        <v>911</v>
      </c>
      <c r="V230" s="24"/>
    </row>
    <row r="231" spans="1:24" hidden="1" x14ac:dyDescent="0.25">
      <c r="A231" s="155" t="s">
        <v>232</v>
      </c>
      <c r="B231" s="156" t="s">
        <v>233</v>
      </c>
      <c r="C231" s="151">
        <v>0</v>
      </c>
      <c r="D231" s="151">
        <v>0</v>
      </c>
      <c r="E231" s="151">
        <v>0</v>
      </c>
      <c r="F231" s="151">
        <v>0</v>
      </c>
      <c r="G231" s="151">
        <v>0</v>
      </c>
      <c r="H231" s="151">
        <v>0</v>
      </c>
      <c r="I231" s="151">
        <v>0</v>
      </c>
      <c r="J231" s="151">
        <v>0</v>
      </c>
      <c r="K231" s="151">
        <v>0</v>
      </c>
      <c r="L231" s="151">
        <v>0</v>
      </c>
      <c r="M231" s="151">
        <v>0</v>
      </c>
      <c r="N231" s="151">
        <v>0</v>
      </c>
      <c r="O231" s="152">
        <v>0</v>
      </c>
      <c r="P231" s="152">
        <v>0</v>
      </c>
      <c r="Q231" s="152">
        <v>863</v>
      </c>
      <c r="R231" s="152"/>
      <c r="S231" s="192">
        <v>500</v>
      </c>
      <c r="T231" s="192"/>
      <c r="U231" s="131"/>
      <c r="V231" s="24"/>
      <c r="X231" s="5"/>
    </row>
    <row r="232" spans="1:24" hidden="1" x14ac:dyDescent="0.25">
      <c r="A232" s="155" t="s">
        <v>234</v>
      </c>
      <c r="B232" s="156" t="s">
        <v>199</v>
      </c>
      <c r="C232" s="151">
        <v>0</v>
      </c>
      <c r="D232" s="151">
        <v>0</v>
      </c>
      <c r="E232" s="151">
        <v>0</v>
      </c>
      <c r="F232" s="151">
        <v>0</v>
      </c>
      <c r="G232" s="151">
        <v>0</v>
      </c>
      <c r="H232" s="151">
        <v>0</v>
      </c>
      <c r="I232" s="151">
        <v>0</v>
      </c>
      <c r="J232" s="151">
        <v>0</v>
      </c>
      <c r="K232" s="151">
        <v>0</v>
      </c>
      <c r="L232" s="151">
        <v>0</v>
      </c>
      <c r="M232" s="151">
        <v>0</v>
      </c>
      <c r="N232" s="151">
        <v>0</v>
      </c>
      <c r="O232" s="152">
        <v>0</v>
      </c>
      <c r="P232" s="152">
        <v>500</v>
      </c>
      <c r="Q232" s="152">
        <v>1128</v>
      </c>
      <c r="R232" s="152"/>
      <c r="S232" s="192">
        <v>500</v>
      </c>
      <c r="T232" s="192"/>
      <c r="U232" s="131"/>
      <c r="V232" s="181"/>
      <c r="X232" s="5"/>
    </row>
    <row r="233" spans="1:24" hidden="1" x14ac:dyDescent="0.25">
      <c r="A233" s="155" t="s">
        <v>546</v>
      </c>
      <c r="B233" s="156" t="s">
        <v>236</v>
      </c>
      <c r="C233" s="151">
        <v>0</v>
      </c>
      <c r="D233" s="151">
        <v>0</v>
      </c>
      <c r="E233" s="151">
        <v>0</v>
      </c>
      <c r="F233" s="151">
        <v>0</v>
      </c>
      <c r="G233" s="151">
        <v>0</v>
      </c>
      <c r="H233" s="151">
        <v>0</v>
      </c>
      <c r="I233" s="151">
        <v>0</v>
      </c>
      <c r="J233" s="151">
        <v>0</v>
      </c>
      <c r="K233" s="151">
        <v>0</v>
      </c>
      <c r="L233" s="151">
        <v>0</v>
      </c>
      <c r="M233" s="151">
        <v>0</v>
      </c>
      <c r="N233" s="151">
        <v>0</v>
      </c>
      <c r="O233" s="152">
        <v>32945.83</v>
      </c>
      <c r="P233" s="152">
        <v>36000</v>
      </c>
      <c r="Q233" s="152">
        <v>38604</v>
      </c>
      <c r="R233" s="152"/>
      <c r="S233" s="192">
        <v>28300</v>
      </c>
      <c r="T233" s="192"/>
      <c r="U233" s="131" t="s">
        <v>912</v>
      </c>
      <c r="V233" s="24"/>
    </row>
    <row r="234" spans="1:24" hidden="1" x14ac:dyDescent="0.25">
      <c r="A234" s="155" t="s">
        <v>235</v>
      </c>
      <c r="B234" s="156" t="s">
        <v>237</v>
      </c>
      <c r="C234" s="151">
        <v>0</v>
      </c>
      <c r="D234" s="151">
        <v>0</v>
      </c>
      <c r="E234" s="151">
        <v>0</v>
      </c>
      <c r="F234" s="151">
        <v>0</v>
      </c>
      <c r="G234" s="151">
        <v>0</v>
      </c>
      <c r="H234" s="151">
        <v>0</v>
      </c>
      <c r="I234" s="151">
        <v>0</v>
      </c>
      <c r="J234" s="151">
        <v>0</v>
      </c>
      <c r="K234" s="151">
        <v>0</v>
      </c>
      <c r="L234" s="151">
        <v>0</v>
      </c>
      <c r="M234" s="151">
        <v>0</v>
      </c>
      <c r="N234" s="151">
        <v>0</v>
      </c>
      <c r="O234" s="152">
        <v>1000</v>
      </c>
      <c r="P234" s="152">
        <v>7500</v>
      </c>
      <c r="Q234" s="152">
        <v>1514</v>
      </c>
      <c r="R234" s="152"/>
      <c r="S234" s="192">
        <v>4000</v>
      </c>
      <c r="T234" s="192"/>
      <c r="U234" s="198" t="s">
        <v>913</v>
      </c>
      <c r="V234" s="24"/>
    </row>
    <row r="235" spans="1:24" ht="19.5" hidden="1" x14ac:dyDescent="0.25">
      <c r="A235" s="155" t="s">
        <v>238</v>
      </c>
      <c r="B235" s="156" t="s">
        <v>239</v>
      </c>
      <c r="C235" s="151">
        <v>0</v>
      </c>
      <c r="D235" s="151">
        <v>0</v>
      </c>
      <c r="E235" s="151">
        <v>0</v>
      </c>
      <c r="F235" s="151">
        <v>0</v>
      </c>
      <c r="G235" s="151">
        <v>0</v>
      </c>
      <c r="H235" s="151">
        <v>0</v>
      </c>
      <c r="I235" s="151">
        <v>0</v>
      </c>
      <c r="J235" s="151">
        <v>0</v>
      </c>
      <c r="K235" s="151">
        <v>0</v>
      </c>
      <c r="L235" s="151">
        <v>0</v>
      </c>
      <c r="M235" s="151">
        <v>0</v>
      </c>
      <c r="N235" s="151">
        <v>0</v>
      </c>
      <c r="O235" s="152">
        <v>11591.4</v>
      </c>
      <c r="P235" s="152">
        <v>5500</v>
      </c>
      <c r="Q235" s="152">
        <v>6092</v>
      </c>
      <c r="R235" s="152"/>
      <c r="S235" s="192">
        <v>5960</v>
      </c>
      <c r="T235" s="192"/>
      <c r="U235" s="131" t="s">
        <v>914</v>
      </c>
      <c r="V235" s="24"/>
    </row>
    <row r="236" spans="1:24" hidden="1" x14ac:dyDescent="0.25">
      <c r="A236" s="155" t="s">
        <v>240</v>
      </c>
      <c r="B236" s="156" t="s">
        <v>241</v>
      </c>
      <c r="C236" s="151">
        <v>0</v>
      </c>
      <c r="D236" s="151">
        <v>0</v>
      </c>
      <c r="E236" s="151">
        <v>0</v>
      </c>
      <c r="F236" s="151">
        <v>0</v>
      </c>
      <c r="G236" s="151">
        <v>0</v>
      </c>
      <c r="H236" s="151">
        <v>0</v>
      </c>
      <c r="I236" s="151">
        <v>0</v>
      </c>
      <c r="J236" s="151">
        <v>0</v>
      </c>
      <c r="K236" s="151">
        <v>0</v>
      </c>
      <c r="L236" s="151">
        <v>0</v>
      </c>
      <c r="M236" s="151">
        <v>0</v>
      </c>
      <c r="N236" s="151">
        <v>0</v>
      </c>
      <c r="O236" s="152">
        <v>13652.19</v>
      </c>
      <c r="P236" s="152">
        <v>23000</v>
      </c>
      <c r="Q236" s="152">
        <v>19796</v>
      </c>
      <c r="R236" s="152"/>
      <c r="S236" s="192">
        <v>14996</v>
      </c>
      <c r="T236" s="192"/>
      <c r="U236" s="131" t="s">
        <v>915</v>
      </c>
      <c r="V236" s="24"/>
    </row>
    <row r="237" spans="1:24" hidden="1" x14ac:dyDescent="0.25">
      <c r="A237" s="155" t="s">
        <v>243</v>
      </c>
      <c r="B237" s="156" t="s">
        <v>244</v>
      </c>
      <c r="C237" s="151">
        <v>0</v>
      </c>
      <c r="D237" s="151">
        <v>0</v>
      </c>
      <c r="E237" s="151">
        <v>0</v>
      </c>
      <c r="F237" s="151">
        <v>0</v>
      </c>
      <c r="G237" s="151">
        <v>0</v>
      </c>
      <c r="H237" s="151">
        <v>0</v>
      </c>
      <c r="I237" s="151">
        <v>0</v>
      </c>
      <c r="J237" s="151">
        <v>0</v>
      </c>
      <c r="K237" s="151">
        <v>0</v>
      </c>
      <c r="L237" s="151">
        <v>0</v>
      </c>
      <c r="M237" s="151">
        <v>0</v>
      </c>
      <c r="N237" s="151">
        <v>0</v>
      </c>
      <c r="O237" s="152">
        <v>13285.8</v>
      </c>
      <c r="P237" s="152">
        <v>18000</v>
      </c>
      <c r="Q237" s="152">
        <v>21497</v>
      </c>
      <c r="R237" s="152"/>
      <c r="S237" s="192">
        <v>20000</v>
      </c>
      <c r="T237" s="192"/>
      <c r="U237" s="131" t="s">
        <v>916</v>
      </c>
      <c r="V237" s="24"/>
    </row>
    <row r="238" spans="1:24" hidden="1" x14ac:dyDescent="0.25">
      <c r="A238" s="155" t="s">
        <v>245</v>
      </c>
      <c r="B238" s="156" t="s">
        <v>246</v>
      </c>
      <c r="C238" s="151">
        <v>0</v>
      </c>
      <c r="D238" s="151">
        <v>0</v>
      </c>
      <c r="E238" s="151">
        <v>0</v>
      </c>
      <c r="F238" s="151">
        <v>0</v>
      </c>
      <c r="G238" s="151">
        <v>0</v>
      </c>
      <c r="H238" s="151">
        <v>0</v>
      </c>
      <c r="I238" s="151">
        <v>0</v>
      </c>
      <c r="J238" s="151">
        <v>0</v>
      </c>
      <c r="K238" s="151">
        <v>0</v>
      </c>
      <c r="L238" s="151">
        <v>0</v>
      </c>
      <c r="M238" s="151">
        <v>0</v>
      </c>
      <c r="N238" s="151">
        <v>0</v>
      </c>
      <c r="O238" s="152">
        <v>0</v>
      </c>
      <c r="P238" s="152">
        <v>0</v>
      </c>
      <c r="Q238" s="152">
        <v>832</v>
      </c>
      <c r="R238" s="152"/>
      <c r="S238" s="192">
        <v>0</v>
      </c>
      <c r="T238" s="192"/>
      <c r="U238" s="131"/>
      <c r="V238" s="24"/>
      <c r="X238" s="5"/>
    </row>
    <row r="239" spans="1:24" hidden="1" x14ac:dyDescent="0.25">
      <c r="A239" s="155" t="s">
        <v>807</v>
      </c>
      <c r="B239" s="156" t="s">
        <v>381</v>
      </c>
      <c r="C239" s="151"/>
      <c r="D239" s="151"/>
      <c r="E239" s="151"/>
      <c r="F239" s="151"/>
      <c r="G239" s="151"/>
      <c r="H239" s="151"/>
      <c r="I239" s="151"/>
      <c r="J239" s="151"/>
      <c r="K239" s="151"/>
      <c r="L239" s="151"/>
      <c r="M239" s="151"/>
      <c r="N239" s="151"/>
      <c r="O239" s="152">
        <v>1488.1</v>
      </c>
      <c r="P239" s="152">
        <v>400</v>
      </c>
      <c r="Q239" s="152"/>
      <c r="R239" s="152"/>
      <c r="S239" s="192"/>
      <c r="T239" s="192"/>
      <c r="U239" s="131"/>
      <c r="V239" s="24"/>
      <c r="X239" s="5"/>
    </row>
    <row r="240" spans="1:24" hidden="1" x14ac:dyDescent="0.25">
      <c r="A240" s="155" t="s">
        <v>247</v>
      </c>
      <c r="B240" s="156" t="s">
        <v>248</v>
      </c>
      <c r="C240" s="151">
        <v>0</v>
      </c>
      <c r="D240" s="151">
        <v>0</v>
      </c>
      <c r="E240" s="151">
        <v>0</v>
      </c>
      <c r="F240" s="151">
        <v>0</v>
      </c>
      <c r="G240" s="151">
        <v>0</v>
      </c>
      <c r="H240" s="151">
        <v>0</v>
      </c>
      <c r="I240" s="151">
        <v>0</v>
      </c>
      <c r="J240" s="151">
        <v>0</v>
      </c>
      <c r="K240" s="151">
        <v>0</v>
      </c>
      <c r="L240" s="151">
        <v>0</v>
      </c>
      <c r="M240" s="151">
        <v>0</v>
      </c>
      <c r="N240" s="151">
        <v>0</v>
      </c>
      <c r="O240" s="152">
        <v>4837.79</v>
      </c>
      <c r="P240" s="152">
        <v>11000</v>
      </c>
      <c r="Q240" s="152">
        <v>14208</v>
      </c>
      <c r="R240" s="152"/>
      <c r="S240" s="192">
        <v>8300</v>
      </c>
      <c r="T240" s="192"/>
      <c r="U240" s="131"/>
      <c r="V240" s="24"/>
      <c r="X240" s="5"/>
    </row>
    <row r="241" spans="1:24" hidden="1" x14ac:dyDescent="0.25">
      <c r="A241" s="155" t="s">
        <v>249</v>
      </c>
      <c r="B241" s="156" t="s">
        <v>917</v>
      </c>
      <c r="C241" s="151">
        <v>0</v>
      </c>
      <c r="D241" s="151">
        <v>0</v>
      </c>
      <c r="E241" s="151">
        <v>0</v>
      </c>
      <c r="F241" s="151">
        <v>0</v>
      </c>
      <c r="G241" s="151">
        <v>0</v>
      </c>
      <c r="H241" s="151">
        <v>0</v>
      </c>
      <c r="I241" s="151">
        <v>0</v>
      </c>
      <c r="J241" s="151">
        <v>0</v>
      </c>
      <c r="K241" s="151">
        <v>0</v>
      </c>
      <c r="L241" s="151">
        <v>0</v>
      </c>
      <c r="M241" s="151">
        <v>0</v>
      </c>
      <c r="N241" s="151">
        <v>0</v>
      </c>
      <c r="O241" s="152">
        <v>0</v>
      </c>
      <c r="P241" s="152">
        <v>4600</v>
      </c>
      <c r="Q241" s="152">
        <v>1796</v>
      </c>
      <c r="R241" s="152"/>
      <c r="S241" s="192">
        <v>0</v>
      </c>
      <c r="T241" s="192"/>
      <c r="U241" s="131"/>
      <c r="V241" s="181"/>
      <c r="X241" s="5"/>
    </row>
    <row r="242" spans="1:24" hidden="1" x14ac:dyDescent="0.25">
      <c r="A242" s="155" t="s">
        <v>250</v>
      </c>
      <c r="B242" s="156" t="s">
        <v>251</v>
      </c>
      <c r="C242" s="151">
        <v>0</v>
      </c>
      <c r="D242" s="151">
        <v>0</v>
      </c>
      <c r="E242" s="151">
        <v>0</v>
      </c>
      <c r="F242" s="151">
        <v>0</v>
      </c>
      <c r="G242" s="151">
        <v>0</v>
      </c>
      <c r="H242" s="151">
        <v>0</v>
      </c>
      <c r="I242" s="151">
        <v>0</v>
      </c>
      <c r="J242" s="151">
        <v>0</v>
      </c>
      <c r="K242" s="151">
        <v>0</v>
      </c>
      <c r="L242" s="151">
        <v>0</v>
      </c>
      <c r="M242" s="151">
        <v>0</v>
      </c>
      <c r="N242" s="151">
        <v>0</v>
      </c>
      <c r="O242" s="152">
        <v>2123.88</v>
      </c>
      <c r="P242" s="152">
        <v>3000</v>
      </c>
      <c r="Q242" s="152">
        <v>3449</v>
      </c>
      <c r="R242" s="152"/>
      <c r="S242" s="192">
        <v>2700</v>
      </c>
      <c r="T242" s="192"/>
      <c r="U242" s="131"/>
      <c r="V242" s="181"/>
      <c r="X242" s="5"/>
    </row>
    <row r="243" spans="1:24" hidden="1" x14ac:dyDescent="0.25">
      <c r="A243" s="155" t="s">
        <v>252</v>
      </c>
      <c r="B243" s="156" t="s">
        <v>253</v>
      </c>
      <c r="C243" s="151">
        <v>0</v>
      </c>
      <c r="D243" s="151">
        <v>0</v>
      </c>
      <c r="E243" s="151">
        <v>0</v>
      </c>
      <c r="F243" s="151">
        <v>0</v>
      </c>
      <c r="G243" s="151">
        <v>0</v>
      </c>
      <c r="H243" s="151">
        <v>0</v>
      </c>
      <c r="I243" s="151">
        <v>0</v>
      </c>
      <c r="J243" s="151">
        <v>0</v>
      </c>
      <c r="K243" s="151">
        <v>0</v>
      </c>
      <c r="L243" s="151">
        <v>0</v>
      </c>
      <c r="M243" s="151">
        <v>0</v>
      </c>
      <c r="N243" s="151">
        <v>0</v>
      </c>
      <c r="O243" s="152">
        <v>3104.4</v>
      </c>
      <c r="P243" s="152">
        <v>2750</v>
      </c>
      <c r="Q243" s="152">
        <v>1179</v>
      </c>
      <c r="R243" s="152"/>
      <c r="S243" s="192">
        <v>2750</v>
      </c>
      <c r="T243" s="192"/>
      <c r="U243" s="131"/>
      <c r="V243" s="181"/>
      <c r="X243" s="5"/>
    </row>
    <row r="244" spans="1:24" hidden="1" x14ac:dyDescent="0.25">
      <c r="A244" s="155" t="s">
        <v>254</v>
      </c>
      <c r="B244" s="156" t="s">
        <v>255</v>
      </c>
      <c r="C244" s="151">
        <v>0</v>
      </c>
      <c r="D244" s="151">
        <v>0</v>
      </c>
      <c r="E244" s="151">
        <v>0</v>
      </c>
      <c r="F244" s="151">
        <v>0</v>
      </c>
      <c r="G244" s="151">
        <v>0</v>
      </c>
      <c r="H244" s="151">
        <v>0</v>
      </c>
      <c r="I244" s="151">
        <v>0</v>
      </c>
      <c r="J244" s="151">
        <v>0</v>
      </c>
      <c r="K244" s="151">
        <v>0</v>
      </c>
      <c r="L244" s="151">
        <v>0</v>
      </c>
      <c r="M244" s="151">
        <v>0</v>
      </c>
      <c r="N244" s="151">
        <v>0</v>
      </c>
      <c r="O244" s="152">
        <v>7984.9</v>
      </c>
      <c r="P244" s="152">
        <v>40000</v>
      </c>
      <c r="Q244" s="152">
        <v>39320</v>
      </c>
      <c r="R244" s="152"/>
      <c r="S244" s="192">
        <v>32650</v>
      </c>
      <c r="T244" s="192"/>
      <c r="U244" s="131" t="s">
        <v>918</v>
      </c>
      <c r="V244" s="24"/>
      <c r="X244" s="5"/>
    </row>
    <row r="245" spans="1:24" ht="19.5" hidden="1" x14ac:dyDescent="0.25">
      <c r="A245" s="155" t="s">
        <v>256</v>
      </c>
      <c r="B245" s="156" t="s">
        <v>134</v>
      </c>
      <c r="C245" s="151">
        <v>0</v>
      </c>
      <c r="D245" s="151">
        <v>0</v>
      </c>
      <c r="E245" s="151">
        <v>0</v>
      </c>
      <c r="F245" s="151">
        <v>0</v>
      </c>
      <c r="G245" s="151">
        <v>0</v>
      </c>
      <c r="H245" s="151">
        <v>0</v>
      </c>
      <c r="I245" s="151">
        <v>0</v>
      </c>
      <c r="J245" s="151">
        <v>0</v>
      </c>
      <c r="K245" s="151">
        <v>0</v>
      </c>
      <c r="L245" s="151">
        <v>0</v>
      </c>
      <c r="M245" s="151">
        <v>0</v>
      </c>
      <c r="N245" s="151">
        <v>0</v>
      </c>
      <c r="O245" s="192">
        <v>11765.5</v>
      </c>
      <c r="P245" s="192">
        <v>10000</v>
      </c>
      <c r="Q245" s="192">
        <v>10000</v>
      </c>
      <c r="R245" s="192"/>
      <c r="S245" s="153">
        <f>SUM(C245:N245)</f>
        <v>0</v>
      </c>
      <c r="T245" s="153"/>
      <c r="U245" s="131" t="s">
        <v>257</v>
      </c>
      <c r="V245" s="181"/>
    </row>
    <row r="246" spans="1:24" hidden="1" x14ac:dyDescent="0.25">
      <c r="A246" s="155" t="s">
        <v>258</v>
      </c>
      <c r="B246" s="156" t="s">
        <v>259</v>
      </c>
      <c r="C246" s="151">
        <v>0</v>
      </c>
      <c r="D246" s="151">
        <v>0</v>
      </c>
      <c r="E246" s="151">
        <v>0</v>
      </c>
      <c r="F246" s="151">
        <v>0</v>
      </c>
      <c r="G246" s="151">
        <v>0</v>
      </c>
      <c r="H246" s="151">
        <v>0</v>
      </c>
      <c r="I246" s="151">
        <v>0</v>
      </c>
      <c r="J246" s="151">
        <v>0</v>
      </c>
      <c r="K246" s="151">
        <v>0</v>
      </c>
      <c r="L246" s="151">
        <v>0</v>
      </c>
      <c r="M246" s="151">
        <v>0</v>
      </c>
      <c r="N246" s="151">
        <v>0</v>
      </c>
      <c r="O246" s="192">
        <v>0</v>
      </c>
      <c r="P246" s="192">
        <v>4750</v>
      </c>
      <c r="Q246" s="192"/>
      <c r="R246" s="192"/>
      <c r="S246" s="153">
        <v>2000</v>
      </c>
      <c r="T246" s="153"/>
      <c r="U246" s="131" t="s">
        <v>260</v>
      </c>
      <c r="V246" s="24"/>
    </row>
    <row r="247" spans="1:24" hidden="1" x14ac:dyDescent="0.25">
      <c r="A247" s="155" t="s">
        <v>919</v>
      </c>
      <c r="B247" s="156" t="s">
        <v>920</v>
      </c>
      <c r="C247" s="151"/>
      <c r="D247" s="151"/>
      <c r="E247" s="151"/>
      <c r="F247" s="151"/>
      <c r="G247" s="151"/>
      <c r="H247" s="151"/>
      <c r="I247" s="151"/>
      <c r="J247" s="151"/>
      <c r="K247" s="151"/>
      <c r="L247" s="151"/>
      <c r="M247" s="151"/>
      <c r="N247" s="151"/>
      <c r="O247" s="192">
        <v>7500</v>
      </c>
      <c r="P247" s="192">
        <v>0</v>
      </c>
      <c r="Q247" s="192">
        <v>0</v>
      </c>
      <c r="R247" s="192"/>
      <c r="S247" s="153">
        <v>0</v>
      </c>
      <c r="T247" s="153"/>
      <c r="U247" s="131"/>
      <c r="V247" s="24"/>
    </row>
    <row r="248" spans="1:24" ht="19.5" hidden="1" x14ac:dyDescent="0.25">
      <c r="A248" s="155" t="s">
        <v>921</v>
      </c>
      <c r="B248" s="156" t="s">
        <v>47</v>
      </c>
      <c r="C248" s="151"/>
      <c r="D248" s="151"/>
      <c r="E248" s="151"/>
      <c r="F248" s="151"/>
      <c r="G248" s="151"/>
      <c r="H248" s="151"/>
      <c r="I248" s="151"/>
      <c r="J248" s="151"/>
      <c r="K248" s="151"/>
      <c r="L248" s="151"/>
      <c r="M248" s="151"/>
      <c r="N248" s="151"/>
      <c r="O248" s="152">
        <v>0</v>
      </c>
      <c r="P248" s="152">
        <v>0</v>
      </c>
      <c r="Q248" s="152"/>
      <c r="R248" s="152"/>
      <c r="S248" s="153">
        <v>2500</v>
      </c>
      <c r="T248" s="153"/>
      <c r="U248" s="131" t="s">
        <v>922</v>
      </c>
      <c r="V248" s="8"/>
      <c r="X248" s="5"/>
    </row>
    <row r="249" spans="1:24" hidden="1" x14ac:dyDescent="0.25">
      <c r="A249" s="155"/>
      <c r="B249" s="199" t="s">
        <v>262</v>
      </c>
      <c r="C249" s="151"/>
      <c r="D249" s="151"/>
      <c r="E249" s="151"/>
      <c r="F249" s="151"/>
      <c r="G249" s="151"/>
      <c r="H249" s="151"/>
      <c r="I249" s="151"/>
      <c r="J249" s="151"/>
      <c r="K249" s="151"/>
      <c r="L249" s="151"/>
      <c r="M249" s="151"/>
      <c r="N249" s="151"/>
      <c r="O249" s="152"/>
      <c r="P249" s="152">
        <v>0</v>
      </c>
      <c r="Q249" s="152"/>
      <c r="R249" s="152"/>
      <c r="S249" s="153">
        <v>1500</v>
      </c>
      <c r="T249" s="153"/>
      <c r="U249" s="131"/>
      <c r="V249" s="8"/>
      <c r="X249" s="5"/>
    </row>
    <row r="250" spans="1:24" hidden="1" x14ac:dyDescent="0.25">
      <c r="A250" s="155"/>
      <c r="B250" s="199" t="s">
        <v>263</v>
      </c>
      <c r="C250" s="151"/>
      <c r="D250" s="151"/>
      <c r="E250" s="151"/>
      <c r="F250" s="151"/>
      <c r="G250" s="151"/>
      <c r="H250" s="151"/>
      <c r="I250" s="151"/>
      <c r="J250" s="151"/>
      <c r="K250" s="151"/>
      <c r="L250" s="151"/>
      <c r="M250" s="151"/>
      <c r="N250" s="151"/>
      <c r="O250" s="152"/>
      <c r="P250" s="152">
        <v>0</v>
      </c>
      <c r="Q250" s="152"/>
      <c r="R250" s="152"/>
      <c r="S250" s="153">
        <v>1200</v>
      </c>
      <c r="T250" s="153"/>
      <c r="U250" s="131"/>
      <c r="V250" s="8"/>
      <c r="X250" s="5"/>
    </row>
    <row r="251" spans="1:24" hidden="1" x14ac:dyDescent="0.25">
      <c r="A251" s="155"/>
      <c r="B251" s="199"/>
      <c r="C251" s="151"/>
      <c r="D251" s="151"/>
      <c r="E251" s="151"/>
      <c r="F251" s="151"/>
      <c r="G251" s="151"/>
      <c r="H251" s="151"/>
      <c r="I251" s="151"/>
      <c r="J251" s="151"/>
      <c r="K251" s="151"/>
      <c r="L251" s="151"/>
      <c r="M251" s="151"/>
      <c r="N251" s="151"/>
      <c r="O251" s="152"/>
      <c r="P251" s="152"/>
      <c r="Q251" s="152"/>
      <c r="R251" s="152"/>
      <c r="S251" s="153"/>
      <c r="T251" s="153"/>
      <c r="U251" s="131"/>
      <c r="V251" s="8"/>
      <c r="X251" s="5"/>
    </row>
    <row r="252" spans="1:24" x14ac:dyDescent="0.25">
      <c r="A252" s="165" t="s">
        <v>923</v>
      </c>
      <c r="B252" s="166"/>
      <c r="C252" s="167"/>
      <c r="D252" s="167"/>
      <c r="E252" s="167"/>
      <c r="F252" s="167"/>
      <c r="G252" s="167"/>
      <c r="H252" s="167"/>
      <c r="I252" s="167"/>
      <c r="J252" s="167"/>
      <c r="K252" s="167"/>
      <c r="L252" s="167"/>
      <c r="M252" s="167"/>
      <c r="N252" s="167"/>
      <c r="O252" s="153">
        <v>95908</v>
      </c>
      <c r="P252" s="153">
        <v>69369</v>
      </c>
      <c r="Q252" s="153">
        <f>SUM(Q253:Q276)</f>
        <v>95908</v>
      </c>
      <c r="R252" s="153" t="e">
        <f>'Draft 2021 Budget'!#REF!-R23-R36</f>
        <v>#REF!</v>
      </c>
      <c r="S252" s="153">
        <f>+'Draft 2021 Budget'!C144-S23-S36</f>
        <v>203936</v>
      </c>
      <c r="T252" s="153">
        <f>+'Draft 2021 Budget'!E144-T23-T36</f>
        <v>199942</v>
      </c>
      <c r="U252" s="131"/>
      <c r="V252" s="8"/>
    </row>
    <row r="253" spans="1:24" hidden="1" x14ac:dyDescent="0.25">
      <c r="A253" s="200" t="s">
        <v>116</v>
      </c>
      <c r="B253" s="201"/>
      <c r="C253" s="169"/>
      <c r="D253" s="169"/>
      <c r="E253" s="169"/>
      <c r="F253" s="169"/>
      <c r="G253" s="169"/>
      <c r="H253" s="169"/>
      <c r="I253" s="169"/>
      <c r="J253" s="169"/>
      <c r="K253" s="169"/>
      <c r="L253" s="169"/>
      <c r="M253" s="169"/>
      <c r="N253" s="169"/>
      <c r="O253" s="174"/>
      <c r="P253" s="174"/>
      <c r="Q253" s="174"/>
      <c r="R253" s="174"/>
      <c r="S253" s="175"/>
      <c r="T253" s="175"/>
      <c r="U253" s="131"/>
    </row>
    <row r="254" spans="1:24" hidden="1" x14ac:dyDescent="0.25">
      <c r="A254" s="154" t="s">
        <v>117</v>
      </c>
      <c r="B254" s="154" t="s">
        <v>118</v>
      </c>
      <c r="C254" s="151">
        <v>0</v>
      </c>
      <c r="D254" s="151">
        <v>0</v>
      </c>
      <c r="E254" s="151">
        <v>0</v>
      </c>
      <c r="F254" s="151">
        <v>0</v>
      </c>
      <c r="G254" s="151">
        <v>0</v>
      </c>
      <c r="H254" s="151">
        <v>0</v>
      </c>
      <c r="I254" s="151">
        <v>0</v>
      </c>
      <c r="J254" s="151">
        <v>0</v>
      </c>
      <c r="K254" s="151">
        <v>0</v>
      </c>
      <c r="L254" s="151">
        <v>0</v>
      </c>
      <c r="M254" s="151">
        <v>0</v>
      </c>
      <c r="N254" s="151">
        <v>0</v>
      </c>
      <c r="O254" s="152">
        <v>620.37</v>
      </c>
      <c r="P254" s="152">
        <v>552</v>
      </c>
      <c r="Q254" s="152">
        <v>552</v>
      </c>
      <c r="R254" s="152"/>
      <c r="S254" s="153">
        <f>SUM(C254:N254)</f>
        <v>0</v>
      </c>
      <c r="T254" s="153"/>
      <c r="U254" s="131" t="s">
        <v>924</v>
      </c>
    </row>
    <row r="255" spans="1:24" hidden="1" x14ac:dyDescent="0.25">
      <c r="A255" s="154" t="s">
        <v>119</v>
      </c>
      <c r="B255" s="154" t="s">
        <v>120</v>
      </c>
      <c r="C255" s="151">
        <v>0</v>
      </c>
      <c r="D255" s="151">
        <v>0</v>
      </c>
      <c r="E255" s="151">
        <v>0</v>
      </c>
      <c r="F255" s="151">
        <v>0</v>
      </c>
      <c r="G255" s="151">
        <v>0</v>
      </c>
      <c r="H255" s="151">
        <v>0</v>
      </c>
      <c r="I255" s="151">
        <v>0</v>
      </c>
      <c r="J255" s="151">
        <v>0</v>
      </c>
      <c r="K255" s="151">
        <v>0</v>
      </c>
      <c r="L255" s="151">
        <v>0</v>
      </c>
      <c r="M255" s="151">
        <v>0</v>
      </c>
      <c r="N255" s="151">
        <v>0</v>
      </c>
      <c r="O255" s="152">
        <v>918.15</v>
      </c>
      <c r="P255" s="152">
        <v>840</v>
      </c>
      <c r="Q255" s="152">
        <v>650</v>
      </c>
      <c r="R255" s="152"/>
      <c r="S255" s="153">
        <f>SUM(C255:N255)</f>
        <v>0</v>
      </c>
      <c r="T255" s="153"/>
      <c r="U255" s="131" t="s">
        <v>924</v>
      </c>
    </row>
    <row r="256" spans="1:24" hidden="1" x14ac:dyDescent="0.25">
      <c r="A256" s="154" t="s">
        <v>121</v>
      </c>
      <c r="B256" s="154" t="s">
        <v>122</v>
      </c>
      <c r="C256" s="151">
        <v>0</v>
      </c>
      <c r="D256" s="151">
        <v>0</v>
      </c>
      <c r="E256" s="151">
        <v>0</v>
      </c>
      <c r="F256" s="151">
        <v>0</v>
      </c>
      <c r="G256" s="151">
        <v>0</v>
      </c>
      <c r="H256" s="151">
        <v>0</v>
      </c>
      <c r="I256" s="151">
        <v>0</v>
      </c>
      <c r="J256" s="151">
        <v>0</v>
      </c>
      <c r="K256" s="151">
        <v>0</v>
      </c>
      <c r="L256" s="151">
        <v>0</v>
      </c>
      <c r="M256" s="151">
        <v>0</v>
      </c>
      <c r="N256" s="151">
        <v>0</v>
      </c>
      <c r="O256" s="152">
        <v>120</v>
      </c>
      <c r="P256" s="152">
        <v>120</v>
      </c>
      <c r="Q256" s="152">
        <v>120</v>
      </c>
      <c r="R256" s="152"/>
      <c r="S256" s="153">
        <f>SUM(C256:N256)</f>
        <v>0</v>
      </c>
      <c r="T256" s="153"/>
      <c r="U256" s="131" t="s">
        <v>924</v>
      </c>
    </row>
    <row r="257" spans="1:22" hidden="1" x14ac:dyDescent="0.25">
      <c r="A257" s="154" t="s">
        <v>123</v>
      </c>
      <c r="B257" s="154" t="s">
        <v>124</v>
      </c>
      <c r="C257" s="151">
        <v>0</v>
      </c>
      <c r="D257" s="151">
        <v>0</v>
      </c>
      <c r="E257" s="151">
        <v>0</v>
      </c>
      <c r="F257" s="151">
        <v>0</v>
      </c>
      <c r="G257" s="151">
        <v>0</v>
      </c>
      <c r="H257" s="151">
        <v>0</v>
      </c>
      <c r="I257" s="151">
        <v>0</v>
      </c>
      <c r="J257" s="151">
        <v>0</v>
      </c>
      <c r="K257" s="151">
        <v>0</v>
      </c>
      <c r="L257" s="151">
        <v>0</v>
      </c>
      <c r="M257" s="151">
        <v>0</v>
      </c>
      <c r="N257" s="151">
        <v>0</v>
      </c>
      <c r="O257" s="152">
        <v>1674.17</v>
      </c>
      <c r="P257" s="152">
        <v>2323</v>
      </c>
      <c r="Q257" s="152">
        <v>2190</v>
      </c>
      <c r="R257" s="152"/>
      <c r="S257" s="153">
        <f>SUM(C257:N257)</f>
        <v>0</v>
      </c>
      <c r="T257" s="153"/>
      <c r="U257" s="131" t="s">
        <v>924</v>
      </c>
    </row>
    <row r="258" spans="1:22" hidden="1" x14ac:dyDescent="0.25">
      <c r="A258" s="154" t="s">
        <v>125</v>
      </c>
      <c r="B258" s="154" t="s">
        <v>126</v>
      </c>
      <c r="C258" s="151">
        <v>0</v>
      </c>
      <c r="D258" s="151">
        <v>0</v>
      </c>
      <c r="E258" s="151">
        <v>0</v>
      </c>
      <c r="F258" s="151">
        <v>0</v>
      </c>
      <c r="G258" s="151">
        <v>0</v>
      </c>
      <c r="H258" s="151">
        <v>0</v>
      </c>
      <c r="I258" s="151">
        <v>0</v>
      </c>
      <c r="J258" s="151">
        <v>0</v>
      </c>
      <c r="K258" s="151">
        <v>0</v>
      </c>
      <c r="L258" s="151">
        <v>0</v>
      </c>
      <c r="M258" s="151">
        <v>0</v>
      </c>
      <c r="N258" s="151">
        <v>0</v>
      </c>
      <c r="O258" s="152">
        <v>8545.9599999999991</v>
      </c>
      <c r="P258" s="152">
        <v>7000</v>
      </c>
      <c r="Q258" s="152">
        <v>7000</v>
      </c>
      <c r="R258" s="152"/>
      <c r="S258" s="153">
        <v>9600</v>
      </c>
      <c r="T258" s="153"/>
      <c r="U258" s="131" t="s">
        <v>925</v>
      </c>
    </row>
    <row r="259" spans="1:22" hidden="1" x14ac:dyDescent="0.25">
      <c r="A259" s="154" t="s">
        <v>127</v>
      </c>
      <c r="B259" s="154" t="s">
        <v>128</v>
      </c>
      <c r="C259" s="151">
        <v>0</v>
      </c>
      <c r="D259" s="151">
        <v>0</v>
      </c>
      <c r="E259" s="151">
        <v>0</v>
      </c>
      <c r="F259" s="151">
        <v>0</v>
      </c>
      <c r="G259" s="151">
        <v>0</v>
      </c>
      <c r="H259" s="151">
        <v>0</v>
      </c>
      <c r="I259" s="151">
        <v>0</v>
      </c>
      <c r="J259" s="151">
        <v>0</v>
      </c>
      <c r="K259" s="151">
        <v>0</v>
      </c>
      <c r="L259" s="151">
        <v>0</v>
      </c>
      <c r="M259" s="151">
        <v>0</v>
      </c>
      <c r="N259" s="151">
        <v>0</v>
      </c>
      <c r="O259" s="152">
        <v>4008.64</v>
      </c>
      <c r="P259" s="152">
        <v>3500</v>
      </c>
      <c r="Q259" s="152">
        <v>5000</v>
      </c>
      <c r="R259" s="152"/>
      <c r="S259" s="153">
        <v>3000</v>
      </c>
      <c r="T259" s="153"/>
      <c r="U259" s="131" t="s">
        <v>926</v>
      </c>
      <c r="V259" s="202"/>
    </row>
    <row r="260" spans="1:22" ht="28.5" hidden="1" x14ac:dyDescent="0.25">
      <c r="A260" s="154" t="s">
        <v>131</v>
      </c>
      <c r="B260" s="154" t="s">
        <v>927</v>
      </c>
      <c r="C260" s="151">
        <v>0</v>
      </c>
      <c r="D260" s="151">
        <v>0</v>
      </c>
      <c r="E260" s="151">
        <v>0</v>
      </c>
      <c r="F260" s="151">
        <v>0</v>
      </c>
      <c r="G260" s="151">
        <v>0</v>
      </c>
      <c r="H260" s="151">
        <v>0</v>
      </c>
      <c r="I260" s="151">
        <v>0</v>
      </c>
      <c r="J260" s="151">
        <v>0</v>
      </c>
      <c r="K260" s="151">
        <v>0</v>
      </c>
      <c r="L260" s="151">
        <v>0</v>
      </c>
      <c r="M260" s="151">
        <v>0</v>
      </c>
      <c r="N260" s="151">
        <v>0</v>
      </c>
      <c r="O260" s="152">
        <v>1450</v>
      </c>
      <c r="P260" s="152">
        <v>1420</v>
      </c>
      <c r="Q260" s="152">
        <v>1420</v>
      </c>
      <c r="R260" s="152"/>
      <c r="S260" s="153">
        <v>2150</v>
      </c>
      <c r="T260" s="153"/>
      <c r="U260" s="203" t="s">
        <v>928</v>
      </c>
      <c r="V260" s="204"/>
    </row>
    <row r="261" spans="1:22" hidden="1" x14ac:dyDescent="0.25">
      <c r="A261" s="154" t="s">
        <v>133</v>
      </c>
      <c r="B261" s="154" t="s">
        <v>134</v>
      </c>
      <c r="C261" s="151">
        <v>0</v>
      </c>
      <c r="D261" s="151">
        <v>0</v>
      </c>
      <c r="E261" s="151">
        <v>0</v>
      </c>
      <c r="F261" s="151">
        <v>0</v>
      </c>
      <c r="G261" s="151">
        <v>0</v>
      </c>
      <c r="H261" s="151">
        <v>0</v>
      </c>
      <c r="I261" s="151">
        <v>0</v>
      </c>
      <c r="J261" s="151">
        <v>0</v>
      </c>
      <c r="K261" s="151">
        <v>0</v>
      </c>
      <c r="L261" s="151">
        <v>0</v>
      </c>
      <c r="M261" s="151">
        <v>0</v>
      </c>
      <c r="N261" s="151">
        <v>0</v>
      </c>
      <c r="O261" s="152">
        <v>0</v>
      </c>
      <c r="P261" s="152">
        <v>0</v>
      </c>
      <c r="Q261" s="152">
        <v>520</v>
      </c>
      <c r="R261" s="152"/>
      <c r="S261" s="153">
        <f>SUM(C261:N261)</f>
        <v>0</v>
      </c>
      <c r="T261" s="153"/>
      <c r="U261" s="131"/>
      <c r="V261" s="8"/>
    </row>
    <row r="262" spans="1:22" hidden="1" x14ac:dyDescent="0.25">
      <c r="A262" s="154" t="s">
        <v>135</v>
      </c>
      <c r="B262" s="154" t="s">
        <v>136</v>
      </c>
      <c r="C262" s="151">
        <v>0</v>
      </c>
      <c r="D262" s="151">
        <v>0</v>
      </c>
      <c r="E262" s="151">
        <v>0</v>
      </c>
      <c r="F262" s="151">
        <v>0</v>
      </c>
      <c r="G262" s="151">
        <v>0</v>
      </c>
      <c r="H262" s="151">
        <v>0</v>
      </c>
      <c r="I262" s="151">
        <v>0</v>
      </c>
      <c r="J262" s="151">
        <v>0</v>
      </c>
      <c r="K262" s="151">
        <v>0</v>
      </c>
      <c r="L262" s="151">
        <v>0</v>
      </c>
      <c r="M262" s="151">
        <v>0</v>
      </c>
      <c r="N262" s="151">
        <v>0</v>
      </c>
      <c r="O262" s="152">
        <v>0</v>
      </c>
      <c r="P262" s="152">
        <v>0</v>
      </c>
      <c r="Q262" s="152">
        <v>0</v>
      </c>
      <c r="R262" s="152"/>
      <c r="S262" s="153">
        <v>1000</v>
      </c>
      <c r="T262" s="153"/>
      <c r="U262" s="131" t="s">
        <v>929</v>
      </c>
      <c r="V262" s="8"/>
    </row>
    <row r="263" spans="1:22" hidden="1" x14ac:dyDescent="0.25">
      <c r="A263" s="155" t="s">
        <v>153</v>
      </c>
      <c r="B263" s="156" t="s">
        <v>118</v>
      </c>
      <c r="C263" s="151">
        <v>150</v>
      </c>
      <c r="D263" s="151">
        <v>100</v>
      </c>
      <c r="E263" s="151">
        <v>500</v>
      </c>
      <c r="F263" s="151">
        <v>150</v>
      </c>
      <c r="G263" s="151">
        <v>100</v>
      </c>
      <c r="H263" s="151">
        <v>400</v>
      </c>
      <c r="I263" s="151">
        <v>250</v>
      </c>
      <c r="J263" s="151">
        <v>50</v>
      </c>
      <c r="K263" s="151">
        <v>800</v>
      </c>
      <c r="L263" s="151">
        <v>200</v>
      </c>
      <c r="M263" s="151">
        <v>200</v>
      </c>
      <c r="N263" s="151">
        <v>300</v>
      </c>
      <c r="O263" s="152">
        <v>4124.8999999999996</v>
      </c>
      <c r="P263" s="152">
        <v>4610</v>
      </c>
      <c r="Q263" s="152">
        <v>5465</v>
      </c>
      <c r="R263" s="152"/>
      <c r="S263" s="153">
        <v>6000</v>
      </c>
      <c r="T263" s="153"/>
      <c r="U263" s="131"/>
      <c r="V263" s="8"/>
    </row>
    <row r="264" spans="1:22" hidden="1" x14ac:dyDescent="0.25">
      <c r="A264" s="155" t="s">
        <v>154</v>
      </c>
      <c r="B264" s="156" t="s">
        <v>120</v>
      </c>
      <c r="C264" s="151">
        <v>815</v>
      </c>
      <c r="D264" s="151">
        <v>0</v>
      </c>
      <c r="E264" s="151">
        <v>0</v>
      </c>
      <c r="F264" s="151">
        <v>0</v>
      </c>
      <c r="G264" s="151">
        <v>100</v>
      </c>
      <c r="H264" s="151">
        <v>900</v>
      </c>
      <c r="I264" s="151">
        <v>0</v>
      </c>
      <c r="J264" s="151">
        <v>220</v>
      </c>
      <c r="K264" s="151">
        <v>0</v>
      </c>
      <c r="L264" s="151">
        <v>100</v>
      </c>
      <c r="M264" s="151">
        <v>100</v>
      </c>
      <c r="N264" s="151">
        <v>100</v>
      </c>
      <c r="O264" s="152">
        <f>1755</f>
        <v>1755</v>
      </c>
      <c r="P264" s="152">
        <v>2270</v>
      </c>
      <c r="Q264" s="152">
        <v>2064</v>
      </c>
      <c r="R264" s="152"/>
      <c r="S264" s="153">
        <f>SUM(C264:N264)</f>
        <v>2335</v>
      </c>
      <c r="T264" s="153"/>
      <c r="U264" s="131"/>
      <c r="V264" s="8"/>
    </row>
    <row r="265" spans="1:22" hidden="1" x14ac:dyDescent="0.25">
      <c r="A265" s="155" t="s">
        <v>155</v>
      </c>
      <c r="B265" s="156" t="s">
        <v>156</v>
      </c>
      <c r="C265" s="151">
        <v>0</v>
      </c>
      <c r="D265" s="151">
        <v>0</v>
      </c>
      <c r="E265" s="151">
        <v>50</v>
      </c>
      <c r="F265" s="151">
        <v>0</v>
      </c>
      <c r="G265" s="151">
        <v>0</v>
      </c>
      <c r="H265" s="151">
        <v>75</v>
      </c>
      <c r="I265" s="151">
        <v>0</v>
      </c>
      <c r="J265" s="151">
        <v>0</v>
      </c>
      <c r="K265" s="151">
        <v>25</v>
      </c>
      <c r="L265" s="151">
        <v>0</v>
      </c>
      <c r="M265" s="151">
        <v>0</v>
      </c>
      <c r="N265" s="151">
        <v>50</v>
      </c>
      <c r="O265" s="152">
        <v>137</v>
      </c>
      <c r="P265" s="152">
        <v>150</v>
      </c>
      <c r="Q265" s="152">
        <v>150</v>
      </c>
      <c r="R265" s="152"/>
      <c r="S265" s="153">
        <f>SUM(C265:N265)</f>
        <v>200</v>
      </c>
      <c r="T265" s="153"/>
      <c r="U265" s="131"/>
    </row>
    <row r="266" spans="1:22" hidden="1" x14ac:dyDescent="0.25">
      <c r="A266" s="155" t="s">
        <v>157</v>
      </c>
      <c r="B266" s="156" t="s">
        <v>122</v>
      </c>
      <c r="C266" s="151">
        <v>308</v>
      </c>
      <c r="D266" s="151">
        <v>320</v>
      </c>
      <c r="E266" s="151">
        <v>320</v>
      </c>
      <c r="F266" s="151">
        <v>280</v>
      </c>
      <c r="G266" s="151">
        <v>453</v>
      </c>
      <c r="H266" s="151">
        <v>270</v>
      </c>
      <c r="I266" s="151">
        <v>446.62</v>
      </c>
      <c r="J266" s="151">
        <v>446.62</v>
      </c>
      <c r="K266" s="151">
        <v>450</v>
      </c>
      <c r="L266" s="151">
        <v>215</v>
      </c>
      <c r="M266" s="151">
        <v>215</v>
      </c>
      <c r="N266" s="151">
        <v>450</v>
      </c>
      <c r="O266" s="152">
        <v>1847.3</v>
      </c>
      <c r="P266" s="152">
        <f>3780+170</f>
        <v>3950</v>
      </c>
      <c r="Q266" s="152">
        <v>3780</v>
      </c>
      <c r="R266" s="152"/>
      <c r="S266" s="153">
        <v>5000</v>
      </c>
      <c r="T266" s="153"/>
      <c r="U266" s="131" t="s">
        <v>158</v>
      </c>
    </row>
    <row r="267" spans="1:22" hidden="1" x14ac:dyDescent="0.25">
      <c r="A267" s="155" t="s">
        <v>171</v>
      </c>
      <c r="B267" s="156" t="s">
        <v>126</v>
      </c>
      <c r="C267" s="151">
        <v>0</v>
      </c>
      <c r="D267" s="151">
        <v>0</v>
      </c>
      <c r="E267" s="151">
        <v>0</v>
      </c>
      <c r="F267" s="151">
        <v>0</v>
      </c>
      <c r="G267" s="151">
        <v>0</v>
      </c>
      <c r="H267" s="151">
        <v>0</v>
      </c>
      <c r="I267" s="151">
        <v>0</v>
      </c>
      <c r="J267" s="151">
        <v>0</v>
      </c>
      <c r="K267" s="151">
        <v>0</v>
      </c>
      <c r="L267" s="151">
        <v>0</v>
      </c>
      <c r="M267" s="151">
        <v>0</v>
      </c>
      <c r="N267" s="151">
        <v>0</v>
      </c>
      <c r="O267" s="152">
        <v>20</v>
      </c>
      <c r="P267" s="152">
        <v>0</v>
      </c>
      <c r="Q267" s="152">
        <v>0</v>
      </c>
      <c r="R267" s="152"/>
      <c r="S267" s="153">
        <f>SUM(C267:N267)</f>
        <v>0</v>
      </c>
      <c r="T267" s="153"/>
      <c r="U267" s="131"/>
      <c r="V267" s="117"/>
    </row>
    <row r="268" spans="1:22" hidden="1" x14ac:dyDescent="0.25">
      <c r="A268" s="155" t="s">
        <v>174</v>
      </c>
      <c r="B268" s="156" t="s">
        <v>175</v>
      </c>
      <c r="C268" s="151">
        <v>0</v>
      </c>
      <c r="D268" s="151">
        <v>0</v>
      </c>
      <c r="E268" s="151">
        <v>0</v>
      </c>
      <c r="F268" s="151">
        <v>0</v>
      </c>
      <c r="G268" s="151">
        <v>0</v>
      </c>
      <c r="H268" s="151">
        <v>0</v>
      </c>
      <c r="I268" s="151">
        <v>0</v>
      </c>
      <c r="J268" s="151">
        <v>0</v>
      </c>
      <c r="K268" s="151">
        <v>0</v>
      </c>
      <c r="L268" s="151">
        <v>0</v>
      </c>
      <c r="M268" s="151">
        <v>0</v>
      </c>
      <c r="N268" s="151">
        <v>0</v>
      </c>
      <c r="O268" s="152">
        <v>0</v>
      </c>
      <c r="P268" s="152">
        <v>0</v>
      </c>
      <c r="Q268" s="152">
        <v>3090</v>
      </c>
      <c r="R268" s="152"/>
      <c r="S268" s="153"/>
      <c r="T268" s="153"/>
      <c r="U268" s="131"/>
      <c r="V268" s="117"/>
    </row>
    <row r="269" spans="1:22" hidden="1" x14ac:dyDescent="0.25">
      <c r="A269" s="155" t="s">
        <v>176</v>
      </c>
      <c r="B269" s="156" t="s">
        <v>177</v>
      </c>
      <c r="C269" s="151">
        <v>0</v>
      </c>
      <c r="D269" s="151">
        <v>0</v>
      </c>
      <c r="E269" s="151">
        <v>4125</v>
      </c>
      <c r="F269" s="151">
        <v>4125</v>
      </c>
      <c r="G269" s="151">
        <v>4125</v>
      </c>
      <c r="H269" s="151">
        <v>4125</v>
      </c>
      <c r="I269" s="151">
        <v>0</v>
      </c>
      <c r="J269" s="151">
        <v>0</v>
      </c>
      <c r="K269" s="151">
        <v>0</v>
      </c>
      <c r="L269" s="151">
        <v>0</v>
      </c>
      <c r="M269" s="151">
        <v>0</v>
      </c>
      <c r="N269" s="151">
        <v>0</v>
      </c>
      <c r="O269" s="152">
        <v>15050</v>
      </c>
      <c r="P269" s="152">
        <v>15502</v>
      </c>
      <c r="Q269" s="152">
        <v>15500</v>
      </c>
      <c r="R269" s="152"/>
      <c r="S269" s="153">
        <f>SUM(C269:N269)</f>
        <v>16500</v>
      </c>
      <c r="T269" s="153"/>
      <c r="U269" s="131" t="s">
        <v>930</v>
      </c>
      <c r="V269" s="117"/>
    </row>
    <row r="270" spans="1:22" hidden="1" x14ac:dyDescent="0.25">
      <c r="A270" s="155" t="s">
        <v>178</v>
      </c>
      <c r="B270" s="156" t="s">
        <v>179</v>
      </c>
      <c r="C270" s="151">
        <v>142</v>
      </c>
      <c r="D270" s="151">
        <v>130</v>
      </c>
      <c r="E270" s="151">
        <v>142</v>
      </c>
      <c r="F270" s="151">
        <v>142</v>
      </c>
      <c r="G270" s="151">
        <v>130</v>
      </c>
      <c r="H270" s="151">
        <v>120</v>
      </c>
      <c r="I270" s="151">
        <v>190</v>
      </c>
      <c r="J270" s="151">
        <v>120</v>
      </c>
      <c r="K270" s="151">
        <v>120</v>
      </c>
      <c r="L270" s="151">
        <v>120</v>
      </c>
      <c r="M270" s="151">
        <v>120</v>
      </c>
      <c r="N270" s="151">
        <v>120</v>
      </c>
      <c r="O270" s="152">
        <v>2240</v>
      </c>
      <c r="P270" s="152">
        <v>2175</v>
      </c>
      <c r="Q270" s="152">
        <v>8300</v>
      </c>
      <c r="R270" s="152"/>
      <c r="S270" s="153">
        <v>5000</v>
      </c>
      <c r="T270" s="153"/>
      <c r="U270" s="203" t="s">
        <v>931</v>
      </c>
      <c r="V270" s="117"/>
    </row>
    <row r="271" spans="1:22" hidden="1" x14ac:dyDescent="0.25">
      <c r="A271" s="155" t="s">
        <v>182</v>
      </c>
      <c r="B271" s="156" t="s">
        <v>183</v>
      </c>
      <c r="C271" s="151">
        <v>0</v>
      </c>
      <c r="D271" s="151">
        <v>0</v>
      </c>
      <c r="E271" s="151">
        <v>0</v>
      </c>
      <c r="F271" s="151">
        <v>0</v>
      </c>
      <c r="G271" s="151">
        <v>0</v>
      </c>
      <c r="H271" s="151">
        <v>0</v>
      </c>
      <c r="I271" s="151">
        <v>0</v>
      </c>
      <c r="J271" s="151">
        <v>0</v>
      </c>
      <c r="K271" s="151">
        <v>0</v>
      </c>
      <c r="L271" s="151">
        <v>0</v>
      </c>
      <c r="M271" s="151">
        <v>0</v>
      </c>
      <c r="N271" s="151">
        <v>0</v>
      </c>
      <c r="O271" s="152">
        <v>4250</v>
      </c>
      <c r="P271" s="152">
        <v>5659</v>
      </c>
      <c r="Q271" s="152">
        <v>6600</v>
      </c>
      <c r="R271" s="152"/>
      <c r="S271" s="153">
        <v>2000</v>
      </c>
      <c r="T271" s="153"/>
      <c r="U271" s="131"/>
      <c r="V271" s="117"/>
    </row>
    <row r="272" spans="1:22" ht="19.5" hidden="1" x14ac:dyDescent="0.25">
      <c r="A272" s="155" t="s">
        <v>184</v>
      </c>
      <c r="B272" s="156" t="s">
        <v>138</v>
      </c>
      <c r="C272" s="151">
        <v>0</v>
      </c>
      <c r="D272" s="151">
        <v>0</v>
      </c>
      <c r="E272" s="151">
        <v>0</v>
      </c>
      <c r="F272" s="151">
        <v>0</v>
      </c>
      <c r="G272" s="151">
        <v>0</v>
      </c>
      <c r="H272" s="151">
        <v>0</v>
      </c>
      <c r="I272" s="151">
        <v>0</v>
      </c>
      <c r="J272" s="151">
        <v>0</v>
      </c>
      <c r="K272" s="151">
        <v>0</v>
      </c>
      <c r="L272" s="151">
        <v>0</v>
      </c>
      <c r="M272" s="151">
        <v>0</v>
      </c>
      <c r="N272" s="151">
        <v>3000</v>
      </c>
      <c r="O272" s="152">
        <v>13179</v>
      </c>
      <c r="P272" s="152">
        <v>13600</v>
      </c>
      <c r="Q272" s="152">
        <v>13600</v>
      </c>
      <c r="R272" s="152"/>
      <c r="S272" s="153">
        <f>SUM(C272:N272)</f>
        <v>3000</v>
      </c>
      <c r="T272" s="153"/>
      <c r="U272" s="161" t="s">
        <v>932</v>
      </c>
      <c r="V272" s="117"/>
    </row>
    <row r="273" spans="1:22" hidden="1" x14ac:dyDescent="0.25">
      <c r="A273" s="155" t="s">
        <v>185</v>
      </c>
      <c r="B273" s="156" t="s">
        <v>186</v>
      </c>
      <c r="C273" s="151">
        <v>1950</v>
      </c>
      <c r="D273" s="151">
        <v>6538</v>
      </c>
      <c r="E273" s="151">
        <v>3640</v>
      </c>
      <c r="F273" s="151">
        <v>1830</v>
      </c>
      <c r="G273" s="151">
        <v>1300</v>
      </c>
      <c r="H273" s="151">
        <v>1325</v>
      </c>
      <c r="I273" s="151">
        <v>1100</v>
      </c>
      <c r="J273" s="151">
        <v>1840</v>
      </c>
      <c r="K273" s="151">
        <v>1150</v>
      </c>
      <c r="L273" s="151">
        <v>1200</v>
      </c>
      <c r="M273" s="151">
        <v>1200</v>
      </c>
      <c r="N273" s="151">
        <v>1500</v>
      </c>
      <c r="O273" s="152">
        <v>22527</v>
      </c>
      <c r="P273" s="152">
        <v>21603</v>
      </c>
      <c r="Q273" s="152">
        <v>21603</v>
      </c>
      <c r="R273" s="152"/>
      <c r="S273" s="153">
        <f>SUM(C273:N273)</f>
        <v>24573</v>
      </c>
      <c r="T273" s="153"/>
      <c r="U273" s="203"/>
      <c r="V273" s="121"/>
    </row>
    <row r="274" spans="1:22" hidden="1" x14ac:dyDescent="0.25">
      <c r="A274" s="155" t="s">
        <v>187</v>
      </c>
      <c r="B274" s="156" t="s">
        <v>134</v>
      </c>
      <c r="C274" s="151"/>
      <c r="D274" s="151"/>
      <c r="E274" s="151"/>
      <c r="F274" s="151"/>
      <c r="G274" s="151"/>
      <c r="H274" s="151"/>
      <c r="I274" s="151"/>
      <c r="J274" s="151"/>
      <c r="K274" s="151"/>
      <c r="L274" s="151"/>
      <c r="M274" s="151"/>
      <c r="N274" s="151"/>
      <c r="O274" s="152">
        <v>245</v>
      </c>
      <c r="P274" s="152">
        <v>0</v>
      </c>
      <c r="Q274" s="152">
        <v>0</v>
      </c>
      <c r="R274" s="152"/>
      <c r="S274" s="153"/>
      <c r="T274" s="153"/>
      <c r="U274" s="203"/>
      <c r="V274" s="121"/>
    </row>
    <row r="275" spans="1:22" hidden="1" x14ac:dyDescent="0.25">
      <c r="A275" s="155" t="s">
        <v>188</v>
      </c>
      <c r="B275" s="156" t="s">
        <v>189</v>
      </c>
      <c r="C275" s="151">
        <v>210</v>
      </c>
      <c r="D275" s="151">
        <v>210</v>
      </c>
      <c r="E275" s="151">
        <v>215</v>
      </c>
      <c r="F275" s="151">
        <v>175</v>
      </c>
      <c r="G275" s="151">
        <v>175</v>
      </c>
      <c r="H275" s="151">
        <v>190</v>
      </c>
      <c r="I275" s="151">
        <v>190</v>
      </c>
      <c r="J275" s="151">
        <v>175</v>
      </c>
      <c r="K275" s="151">
        <v>175</v>
      </c>
      <c r="L275" s="151">
        <v>206</v>
      </c>
      <c r="M275" s="151">
        <v>195</v>
      </c>
      <c r="N275" s="151">
        <v>195</v>
      </c>
      <c r="O275" s="152">
        <v>3233</v>
      </c>
      <c r="P275" s="152">
        <v>2639</v>
      </c>
      <c r="Q275" s="152">
        <v>2879</v>
      </c>
      <c r="R275" s="152"/>
      <c r="S275" s="153">
        <v>2340</v>
      </c>
      <c r="T275" s="153"/>
      <c r="U275" s="131" t="s">
        <v>933</v>
      </c>
      <c r="V275" s="117"/>
    </row>
    <row r="276" spans="1:22" hidden="1" x14ac:dyDescent="0.25">
      <c r="A276" s="191" t="s">
        <v>934</v>
      </c>
      <c r="B276" s="155" t="s">
        <v>935</v>
      </c>
      <c r="C276" s="151">
        <v>0</v>
      </c>
      <c r="D276" s="151">
        <v>0</v>
      </c>
      <c r="E276" s="151">
        <v>0</v>
      </c>
      <c r="F276" s="151">
        <v>0</v>
      </c>
      <c r="G276" s="151">
        <v>0</v>
      </c>
      <c r="H276" s="151">
        <v>0</v>
      </c>
      <c r="I276" s="151">
        <v>0</v>
      </c>
      <c r="J276" s="151">
        <v>0</v>
      </c>
      <c r="K276" s="151">
        <v>0</v>
      </c>
      <c r="L276" s="151">
        <v>0</v>
      </c>
      <c r="M276" s="151">
        <v>0</v>
      </c>
      <c r="N276" s="151">
        <v>0</v>
      </c>
      <c r="O276" s="152">
        <v>54067.31</v>
      </c>
      <c r="P276" s="152">
        <v>0</v>
      </c>
      <c r="Q276" s="152">
        <v>-4575</v>
      </c>
      <c r="R276" s="152"/>
      <c r="S276" s="153">
        <v>0</v>
      </c>
      <c r="T276" s="153"/>
      <c r="U276" s="131"/>
      <c r="V276" s="117"/>
    </row>
    <row r="277" spans="1:22" x14ac:dyDescent="0.25">
      <c r="A277" s="165" t="s">
        <v>936</v>
      </c>
      <c r="B277" s="166"/>
      <c r="C277" s="167"/>
      <c r="D277" s="167"/>
      <c r="E277" s="167"/>
      <c r="F277" s="167"/>
      <c r="G277" s="167"/>
      <c r="H277" s="167"/>
      <c r="I277" s="167"/>
      <c r="J277" s="167"/>
      <c r="K277" s="167"/>
      <c r="L277" s="167"/>
      <c r="M277" s="167"/>
      <c r="N277" s="167"/>
      <c r="O277" s="152">
        <v>26150</v>
      </c>
      <c r="P277" s="152">
        <v>325</v>
      </c>
      <c r="Q277" s="152">
        <f>SUM(Q278)</f>
        <v>26150</v>
      </c>
      <c r="R277" s="152">
        <v>1063</v>
      </c>
      <c r="S277" s="152">
        <f>SUM(S278)</f>
        <v>2000</v>
      </c>
      <c r="T277" s="152">
        <f>+'Draft 2021 Budget'!E104</f>
        <v>1695</v>
      </c>
      <c r="U277" s="131"/>
      <c r="V277" s="8"/>
    </row>
    <row r="278" spans="1:22" hidden="1" x14ac:dyDescent="0.25">
      <c r="A278" s="9" t="s">
        <v>131</v>
      </c>
      <c r="B278" s="9" t="s">
        <v>132</v>
      </c>
      <c r="C278" s="10">
        <v>0</v>
      </c>
      <c r="D278" s="10">
        <v>0</v>
      </c>
      <c r="E278" s="10">
        <v>0</v>
      </c>
      <c r="F278" s="10">
        <v>0</v>
      </c>
      <c r="G278" s="10">
        <v>0</v>
      </c>
      <c r="H278" s="10">
        <v>0</v>
      </c>
      <c r="I278" s="10">
        <v>0</v>
      </c>
      <c r="J278" s="10">
        <v>0</v>
      </c>
      <c r="K278" s="10">
        <v>0</v>
      </c>
      <c r="L278" s="10">
        <v>0</v>
      </c>
      <c r="M278" s="10">
        <v>0</v>
      </c>
      <c r="N278" s="10">
        <v>0</v>
      </c>
      <c r="O278" s="11">
        <v>0</v>
      </c>
      <c r="P278" s="11">
        <v>0</v>
      </c>
      <c r="Q278" s="11">
        <v>26150</v>
      </c>
      <c r="S278" s="12">
        <v>2000</v>
      </c>
      <c r="U278" s="203" t="s">
        <v>937</v>
      </c>
      <c r="V278" s="8"/>
    </row>
    <row r="279" spans="1:22" hidden="1" x14ac:dyDescent="0.25">
      <c r="A279" s="16" t="s">
        <v>172</v>
      </c>
      <c r="B279" s="16" t="s">
        <v>173</v>
      </c>
      <c r="C279" s="10">
        <v>1400</v>
      </c>
      <c r="D279" s="10">
        <v>0</v>
      </c>
      <c r="E279" s="10">
        <v>0</v>
      </c>
      <c r="F279" s="10">
        <v>0</v>
      </c>
      <c r="G279" s="10">
        <v>0</v>
      </c>
      <c r="H279" s="10">
        <v>200</v>
      </c>
      <c r="I279" s="10">
        <v>0</v>
      </c>
      <c r="J279" s="10">
        <v>600</v>
      </c>
      <c r="K279" s="10">
        <v>0</v>
      </c>
      <c r="L279" s="10">
        <v>200</v>
      </c>
      <c r="M279" s="10">
        <v>0</v>
      </c>
      <c r="N279" s="10">
        <v>0</v>
      </c>
      <c r="O279" s="11">
        <v>0</v>
      </c>
      <c r="P279" s="11">
        <v>0</v>
      </c>
      <c r="Q279" s="11">
        <v>0</v>
      </c>
      <c r="U279" s="131"/>
      <c r="V279" s="117"/>
    </row>
    <row r="280" spans="1:22" x14ac:dyDescent="0.25">
      <c r="A280" s="205"/>
      <c r="B280" s="205" t="s">
        <v>778</v>
      </c>
      <c r="C280" s="206"/>
      <c r="D280" s="206"/>
      <c r="E280" s="206"/>
      <c r="F280" s="206"/>
      <c r="G280" s="206"/>
      <c r="H280" s="206"/>
      <c r="I280" s="206"/>
      <c r="J280" s="206"/>
      <c r="K280" s="206"/>
      <c r="L280" s="206"/>
      <c r="M280" s="206"/>
      <c r="N280" s="206"/>
      <c r="O280" s="207">
        <f t="shared" ref="O280:T280" si="6">O21</f>
        <v>1442728</v>
      </c>
      <c r="P280" s="207">
        <f t="shared" si="6"/>
        <v>1411164</v>
      </c>
      <c r="Q280" s="207">
        <f t="shared" si="6"/>
        <v>1447098</v>
      </c>
      <c r="R280" s="207">
        <f t="shared" si="6"/>
        <v>1371389.94</v>
      </c>
      <c r="S280" s="208">
        <f t="shared" si="6"/>
        <v>1576600</v>
      </c>
      <c r="T280" s="208">
        <f t="shared" si="6"/>
        <v>1492522</v>
      </c>
      <c r="U280" s="131"/>
      <c r="V280" s="117"/>
    </row>
    <row r="281" spans="1:22" x14ac:dyDescent="0.25">
      <c r="A281" s="205"/>
      <c r="B281" s="205" t="s">
        <v>779</v>
      </c>
      <c r="C281" s="209"/>
      <c r="D281" s="209"/>
      <c r="E281" s="209"/>
      <c r="F281" s="209"/>
      <c r="G281" s="209"/>
      <c r="H281" s="209"/>
      <c r="I281" s="209"/>
      <c r="J281" s="209"/>
      <c r="K281" s="209"/>
      <c r="L281" s="209"/>
      <c r="M281" s="209"/>
      <c r="N281" s="209"/>
      <c r="O281" s="210">
        <f t="shared" ref="O281:T281" si="7">SUM(O24,O25,O29,O32,O37,O42,O44,O47,O50,O214,O252,O277)</f>
        <v>1317043</v>
      </c>
      <c r="P281" s="210">
        <f t="shared" si="7"/>
        <v>1355553</v>
      </c>
      <c r="Q281" s="210">
        <f t="shared" si="7"/>
        <v>1443389</v>
      </c>
      <c r="R281" s="210" t="e">
        <f t="shared" si="7"/>
        <v>#REF!</v>
      </c>
      <c r="S281" s="210">
        <f t="shared" si="7"/>
        <v>1544773</v>
      </c>
      <c r="T281" s="210">
        <f t="shared" si="7"/>
        <v>1564835</v>
      </c>
      <c r="U281" s="131"/>
      <c r="V281" s="8"/>
    </row>
    <row r="282" spans="1:22" x14ac:dyDescent="0.25">
      <c r="A282" s="146"/>
      <c r="B282" s="211" t="s">
        <v>780</v>
      </c>
      <c r="C282" s="128"/>
      <c r="D282" s="128"/>
      <c r="E282" s="128"/>
      <c r="F282" s="128"/>
      <c r="G282" s="128"/>
      <c r="H282" s="128"/>
      <c r="I282" s="128"/>
      <c r="J282" s="128"/>
      <c r="K282" s="128"/>
      <c r="L282" s="128"/>
      <c r="M282" s="128"/>
      <c r="N282" s="128"/>
      <c r="O282" s="130">
        <f t="shared" ref="O282:T282" si="8">O280-O281</f>
        <v>125685</v>
      </c>
      <c r="P282" s="130">
        <f t="shared" si="8"/>
        <v>55611</v>
      </c>
      <c r="Q282" s="130">
        <f t="shared" si="8"/>
        <v>3709</v>
      </c>
      <c r="R282" s="130" t="e">
        <f t="shared" si="8"/>
        <v>#REF!</v>
      </c>
      <c r="S282" s="130">
        <f t="shared" si="8"/>
        <v>31827</v>
      </c>
      <c r="T282" s="130">
        <f t="shared" si="8"/>
        <v>-72313</v>
      </c>
      <c r="U282" s="212"/>
      <c r="V282" s="8"/>
    </row>
    <row r="283" spans="1:22" x14ac:dyDescent="0.25">
      <c r="C283" s="10"/>
      <c r="D283" s="10"/>
      <c r="E283" s="10"/>
      <c r="F283" s="10"/>
      <c r="G283" s="10"/>
      <c r="H283" s="10"/>
      <c r="I283" s="10"/>
      <c r="J283" s="10"/>
      <c r="K283" s="10"/>
      <c r="L283" s="10"/>
      <c r="M283" s="10"/>
      <c r="N283" s="10"/>
      <c r="V283" s="8"/>
    </row>
    <row r="284" spans="1:22" x14ac:dyDescent="0.25">
      <c r="C284" s="10"/>
      <c r="D284" s="10"/>
      <c r="E284" s="10"/>
      <c r="F284" s="10"/>
      <c r="G284" s="10"/>
      <c r="H284" s="10"/>
      <c r="I284" s="10"/>
      <c r="J284" s="10"/>
      <c r="K284" s="10"/>
      <c r="L284" s="10"/>
      <c r="M284" s="10"/>
      <c r="N284" s="10"/>
      <c r="V284" s="8"/>
    </row>
  </sheetData>
  <mergeCells count="3">
    <mergeCell ref="A4:B4"/>
    <mergeCell ref="A21:B21"/>
    <mergeCell ref="A47:B47"/>
  </mergeCells>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9"/>
  <sheetViews>
    <sheetView workbookViewId="0">
      <selection sqref="A1:J37"/>
    </sheetView>
  </sheetViews>
  <sheetFormatPr defaultColWidth="9.28515625" defaultRowHeight="15" x14ac:dyDescent="0.25"/>
  <cols>
    <col min="1" max="1" width="26" style="120" customWidth="1"/>
    <col min="2" max="2" width="12" style="12" bestFit="1" customWidth="1"/>
    <col min="3" max="3" width="33" style="8" customWidth="1"/>
    <col min="4" max="4" width="1.28515625" style="8" hidden="1" customWidth="1"/>
    <col min="5" max="5" width="11.28515625" style="8" customWidth="1"/>
    <col min="6" max="6" width="11.28515625" style="5" customWidth="1"/>
    <col min="7" max="7" width="11.28515625" style="8" customWidth="1"/>
    <col min="8" max="8" width="11.140625" style="8" customWidth="1"/>
    <col min="9" max="9" width="16.85546875" style="8" customWidth="1"/>
    <col min="10" max="16384" width="9.28515625" style="8"/>
  </cols>
  <sheetData>
    <row r="1" spans="1:10" x14ac:dyDescent="0.25">
      <c r="A1" s="446" t="s">
        <v>714</v>
      </c>
      <c r="B1" s="447"/>
      <c r="C1" s="447"/>
      <c r="D1" s="447"/>
      <c r="E1" s="447"/>
      <c r="F1" s="447"/>
      <c r="G1" s="448"/>
      <c r="H1" s="449"/>
      <c r="I1" s="37"/>
    </row>
    <row r="2" spans="1:10" ht="15.75" thickBot="1" x14ac:dyDescent="0.3">
      <c r="A2" s="450" t="s">
        <v>715</v>
      </c>
      <c r="B2" s="451"/>
      <c r="C2" s="451"/>
      <c r="D2" s="451"/>
      <c r="E2" s="451"/>
      <c r="F2" s="451"/>
      <c r="G2" s="452"/>
      <c r="H2" s="453"/>
      <c r="I2" s="37"/>
    </row>
    <row r="3" spans="1:10" ht="45.6" customHeight="1" x14ac:dyDescent="0.25">
      <c r="A3" s="38" t="s">
        <v>716</v>
      </c>
      <c r="B3" s="39"/>
      <c r="C3" s="40" t="s">
        <v>717</v>
      </c>
      <c r="D3" s="41" t="s">
        <v>718</v>
      </c>
      <c r="E3" s="42" t="s">
        <v>719</v>
      </c>
      <c r="F3" s="43" t="s">
        <v>720</v>
      </c>
      <c r="G3" s="43" t="s">
        <v>721</v>
      </c>
      <c r="H3" s="44" t="s">
        <v>722</v>
      </c>
      <c r="I3" s="45" t="s">
        <v>723</v>
      </c>
    </row>
    <row r="4" spans="1:10" x14ac:dyDescent="0.25">
      <c r="A4" s="46" t="s">
        <v>724</v>
      </c>
      <c r="B4" s="47"/>
      <c r="C4" s="48" t="s">
        <v>725</v>
      </c>
      <c r="D4" s="49" t="s">
        <v>726</v>
      </c>
      <c r="E4" s="50" t="s">
        <v>726</v>
      </c>
      <c r="F4" s="51"/>
      <c r="G4" s="51"/>
      <c r="H4" s="52"/>
      <c r="I4" s="37"/>
    </row>
    <row r="5" spans="1:10" x14ac:dyDescent="0.25">
      <c r="A5" s="53" t="s">
        <v>727</v>
      </c>
      <c r="B5" s="54">
        <f>+B30</f>
        <v>1794725.52</v>
      </c>
      <c r="C5" s="55" t="s">
        <v>728</v>
      </c>
      <c r="D5" s="56"/>
      <c r="E5" s="57"/>
      <c r="F5" s="58"/>
      <c r="G5" s="59"/>
      <c r="H5" s="52"/>
      <c r="I5" s="37"/>
    </row>
    <row r="6" spans="1:10" x14ac:dyDescent="0.25">
      <c r="A6" s="53" t="s">
        <v>729</v>
      </c>
      <c r="B6" s="54">
        <v>-68000</v>
      </c>
      <c r="C6" s="60" t="s">
        <v>730</v>
      </c>
      <c r="D6" s="61">
        <v>560010</v>
      </c>
      <c r="E6" s="62">
        <v>595000</v>
      </c>
      <c r="F6" s="63">
        <v>588708</v>
      </c>
      <c r="G6" s="63">
        <v>595000</v>
      </c>
      <c r="H6" s="52">
        <f>F6-G6</f>
        <v>-6292</v>
      </c>
      <c r="I6" s="37"/>
    </row>
    <row r="7" spans="1:10" ht="30" x14ac:dyDescent="0.25">
      <c r="A7" s="53" t="s">
        <v>731</v>
      </c>
      <c r="B7" s="54">
        <v>162938.39000000001</v>
      </c>
      <c r="C7" s="64" t="s">
        <v>732</v>
      </c>
      <c r="D7" s="65">
        <v>419915</v>
      </c>
      <c r="E7" s="62">
        <v>418509</v>
      </c>
      <c r="F7" s="66">
        <f>1405458.61-896679+40+2636</f>
        <v>511455.6100000001</v>
      </c>
      <c r="G7" s="63">
        <v>432803</v>
      </c>
      <c r="H7" s="52">
        <f>F7-G7</f>
        <v>78652.610000000102</v>
      </c>
      <c r="I7" s="37"/>
    </row>
    <row r="8" spans="1:10" x14ac:dyDescent="0.25">
      <c r="A8" s="67" t="s">
        <v>733</v>
      </c>
      <c r="B8" s="54">
        <f>SUM(B5:B7)</f>
        <v>1889663.9100000001</v>
      </c>
      <c r="C8" s="60" t="s">
        <v>734</v>
      </c>
      <c r="D8" s="61">
        <v>364180</v>
      </c>
      <c r="E8" s="62">
        <v>307250</v>
      </c>
      <c r="F8" s="66">
        <f>1408527.9-1097528</f>
        <v>310999.89999999991</v>
      </c>
      <c r="G8" s="63">
        <v>307250</v>
      </c>
      <c r="H8" s="52">
        <f>F8-G8</f>
        <v>3749.8999999999069</v>
      </c>
      <c r="I8" s="37"/>
    </row>
    <row r="9" spans="1:10" x14ac:dyDescent="0.25">
      <c r="A9" s="53"/>
      <c r="B9" s="54"/>
      <c r="C9" s="60" t="s">
        <v>735</v>
      </c>
      <c r="D9" s="61">
        <v>49377</v>
      </c>
      <c r="E9" s="62">
        <v>59536</v>
      </c>
      <c r="F9" s="63">
        <v>0</v>
      </c>
      <c r="G9" s="63">
        <v>45243</v>
      </c>
      <c r="H9" s="52">
        <f>+F9-G9</f>
        <v>-45243</v>
      </c>
      <c r="I9" s="68"/>
    </row>
    <row r="10" spans="1:10" x14ac:dyDescent="0.25">
      <c r="A10" s="53"/>
      <c r="B10" s="54"/>
      <c r="C10" s="69" t="s">
        <v>736</v>
      </c>
      <c r="D10" s="70"/>
      <c r="E10" s="71"/>
      <c r="F10" s="14">
        <v>72236</v>
      </c>
      <c r="G10" s="72">
        <v>0</v>
      </c>
      <c r="H10" s="73">
        <f>+F10-G10</f>
        <v>72236</v>
      </c>
      <c r="I10" s="74" t="s">
        <v>737</v>
      </c>
    </row>
    <row r="11" spans="1:10" x14ac:dyDescent="0.25">
      <c r="A11" s="46" t="s">
        <v>738</v>
      </c>
      <c r="B11" s="54"/>
      <c r="C11" s="75" t="s">
        <v>739</v>
      </c>
      <c r="D11" s="76">
        <f>SUM(D6:D9)</f>
        <v>1393482</v>
      </c>
      <c r="E11" s="77">
        <f>SUM(E6:E9)</f>
        <v>1380295</v>
      </c>
      <c r="F11" s="77">
        <f>SUM(F6:F9)</f>
        <v>1411163.51</v>
      </c>
      <c r="G11" s="77">
        <f>SUM(G6:G9)</f>
        <v>1380296</v>
      </c>
      <c r="H11" s="77">
        <f>SUM(H6:H9)</f>
        <v>30867.510000000009</v>
      </c>
      <c r="I11" s="37"/>
    </row>
    <row r="12" spans="1:10" x14ac:dyDescent="0.25">
      <c r="A12" s="53" t="s">
        <v>740</v>
      </c>
      <c r="B12" s="54">
        <v>532327.76</v>
      </c>
      <c r="C12" s="78"/>
      <c r="D12" s="79"/>
      <c r="E12" s="62"/>
      <c r="F12" s="63"/>
      <c r="G12" s="63"/>
      <c r="H12" s="52"/>
      <c r="I12" s="37"/>
    </row>
    <row r="13" spans="1:10" x14ac:dyDescent="0.25">
      <c r="A13" s="53" t="s">
        <v>741</v>
      </c>
      <c r="B13" s="54">
        <v>0</v>
      </c>
      <c r="C13" s="55" t="s">
        <v>742</v>
      </c>
      <c r="D13" s="56"/>
      <c r="E13" s="62"/>
      <c r="F13" s="63"/>
      <c r="G13" s="63"/>
      <c r="H13" s="52"/>
      <c r="I13" s="37"/>
    </row>
    <row r="14" spans="1:10" x14ac:dyDescent="0.25">
      <c r="A14" s="53" t="s">
        <v>743</v>
      </c>
      <c r="B14" s="54">
        <f>SUM(B12:B13)</f>
        <v>532327.76</v>
      </c>
      <c r="C14" s="55" t="s">
        <v>744</v>
      </c>
      <c r="D14" s="56"/>
      <c r="E14" s="62"/>
      <c r="F14" s="63"/>
      <c r="G14" s="63"/>
      <c r="H14" s="52"/>
      <c r="I14" s="29"/>
      <c r="J14" s="29"/>
    </row>
    <row r="15" spans="1:10" x14ac:dyDescent="0.25">
      <c r="A15" s="53" t="s">
        <v>745</v>
      </c>
      <c r="B15" s="54">
        <v>1357335.74</v>
      </c>
      <c r="C15" s="80" t="s">
        <v>746</v>
      </c>
      <c r="D15" s="81">
        <v>428310</v>
      </c>
      <c r="E15" s="62">
        <v>510336</v>
      </c>
      <c r="F15" s="66">
        <f>496324.7+7021.78</f>
        <v>503346.48000000004</v>
      </c>
      <c r="G15" s="63">
        <v>510336</v>
      </c>
      <c r="H15" s="52">
        <f>F15-G15</f>
        <v>-6989.5199999999604</v>
      </c>
      <c r="I15" s="82" t="s">
        <v>747</v>
      </c>
    </row>
    <row r="16" spans="1:10" x14ac:dyDescent="0.25">
      <c r="A16" s="67" t="s">
        <v>748</v>
      </c>
      <c r="B16" s="54">
        <f>SUM(B14:B15)</f>
        <v>1889663.5</v>
      </c>
      <c r="C16" s="80" t="s">
        <v>749</v>
      </c>
      <c r="D16" s="81">
        <v>29673</v>
      </c>
      <c r="E16" s="62">
        <v>42006</v>
      </c>
      <c r="F16" s="83">
        <v>49151.35</v>
      </c>
      <c r="G16" s="63">
        <f>2965+39041.04+7420</f>
        <v>49426.04</v>
      </c>
      <c r="H16" s="52">
        <f>F16-G16</f>
        <v>-274.69000000000233</v>
      </c>
      <c r="I16" s="37"/>
    </row>
    <row r="17" spans="1:10" x14ac:dyDescent="0.25">
      <c r="A17" s="53"/>
      <c r="B17" s="84"/>
      <c r="C17" s="80" t="s">
        <v>750</v>
      </c>
      <c r="D17" s="81">
        <v>61867</v>
      </c>
      <c r="E17" s="62">
        <v>57249</v>
      </c>
      <c r="F17" s="66">
        <v>47451.19</v>
      </c>
      <c r="G17" s="66">
        <v>49829.01</v>
      </c>
      <c r="H17" s="52">
        <f>F17-G17</f>
        <v>-2377.8199999999997</v>
      </c>
      <c r="I17" s="37"/>
    </row>
    <row r="18" spans="1:10" x14ac:dyDescent="0.25">
      <c r="A18" s="85"/>
      <c r="B18" s="86">
        <v>42551</v>
      </c>
      <c r="C18" s="80" t="s">
        <v>751</v>
      </c>
      <c r="D18" s="81">
        <v>30294</v>
      </c>
      <c r="E18" s="62">
        <v>28488</v>
      </c>
      <c r="F18" s="63">
        <v>22461.16</v>
      </c>
      <c r="G18" s="63">
        <v>28482</v>
      </c>
      <c r="H18" s="52">
        <f>F18-G18</f>
        <v>-6020.84</v>
      </c>
      <c r="I18" s="37"/>
    </row>
    <row r="19" spans="1:10" x14ac:dyDescent="0.25">
      <c r="A19" s="87" t="s">
        <v>752</v>
      </c>
      <c r="B19" s="88">
        <v>145116.56</v>
      </c>
      <c r="C19" s="75" t="s">
        <v>753</v>
      </c>
      <c r="D19" s="89">
        <f>SUM(D15:D18)</f>
        <v>550144</v>
      </c>
      <c r="E19" s="77">
        <f>SUM(E15:E18)</f>
        <v>638079</v>
      </c>
      <c r="F19" s="77">
        <f>SUM(F15:F18)</f>
        <v>622410.18000000005</v>
      </c>
      <c r="G19" s="77">
        <f>SUM(G15:G18)</f>
        <v>638073.05000000005</v>
      </c>
      <c r="H19" s="90">
        <f>SUM(H15:H18)</f>
        <v>-15662.869999999963</v>
      </c>
      <c r="I19" s="37"/>
    </row>
    <row r="20" spans="1:10" x14ac:dyDescent="0.25">
      <c r="A20" s="87" t="s">
        <v>754</v>
      </c>
      <c r="B20" s="88">
        <v>1496272.75</v>
      </c>
      <c r="C20" s="55"/>
      <c r="D20" s="91"/>
      <c r="E20" s="62"/>
      <c r="F20" s="63"/>
      <c r="G20" s="63"/>
      <c r="H20" s="52"/>
      <c r="I20" s="37"/>
    </row>
    <row r="21" spans="1:10" x14ac:dyDescent="0.25">
      <c r="A21" s="87" t="s">
        <v>755</v>
      </c>
      <c r="B21" s="88">
        <v>2250</v>
      </c>
      <c r="C21" s="55" t="s">
        <v>756</v>
      </c>
      <c r="D21" s="91"/>
      <c r="E21" s="62"/>
      <c r="F21" s="63"/>
      <c r="G21" s="63"/>
      <c r="H21" s="52"/>
      <c r="I21" s="37"/>
    </row>
    <row r="22" spans="1:10" x14ac:dyDescent="0.25">
      <c r="A22" s="87" t="s">
        <v>757</v>
      </c>
      <c r="B22" s="88">
        <v>32274.27</v>
      </c>
      <c r="C22" s="78" t="s">
        <v>758</v>
      </c>
      <c r="D22" s="92">
        <f>49938+1976+2892+1474</f>
        <v>56280</v>
      </c>
      <c r="E22" s="62">
        <v>52520</v>
      </c>
      <c r="F22" s="63">
        <f>49200+1650+1605.54</f>
        <v>52455.54</v>
      </c>
      <c r="G22" s="66">
        <f>49200+1320+2000</f>
        <v>52520</v>
      </c>
      <c r="H22" s="52">
        <f>F22-G22</f>
        <v>-64.459999999999127</v>
      </c>
      <c r="I22" s="37"/>
    </row>
    <row r="23" spans="1:10" x14ac:dyDescent="0.25">
      <c r="A23" s="87" t="s">
        <v>759</v>
      </c>
      <c r="B23" s="88">
        <v>0</v>
      </c>
      <c r="C23" s="78" t="s">
        <v>760</v>
      </c>
      <c r="D23" s="92">
        <v>15573</v>
      </c>
      <c r="E23" s="62">
        <v>18100</v>
      </c>
      <c r="F23" s="63">
        <v>10383</v>
      </c>
      <c r="G23" s="63">
        <v>18100</v>
      </c>
      <c r="H23" s="52">
        <f>+F23-G23</f>
        <v>-7717</v>
      </c>
      <c r="I23" s="93"/>
    </row>
    <row r="24" spans="1:10" x14ac:dyDescent="0.25">
      <c r="A24" s="87" t="s">
        <v>761</v>
      </c>
      <c r="B24" s="88">
        <v>0</v>
      </c>
      <c r="C24" s="78" t="s">
        <v>762</v>
      </c>
      <c r="D24" s="92">
        <v>46036</v>
      </c>
      <c r="E24" s="62">
        <v>41852</v>
      </c>
      <c r="F24" s="63">
        <f>48654.26+5597.47</f>
        <v>54251.73</v>
      </c>
      <c r="G24" s="63">
        <f>36572+2000</f>
        <v>38572</v>
      </c>
      <c r="H24" s="52">
        <f>+F24-G24</f>
        <v>15679.730000000003</v>
      </c>
      <c r="I24" s="94" t="s">
        <v>763</v>
      </c>
    </row>
    <row r="25" spans="1:10" x14ac:dyDescent="0.25">
      <c r="A25" s="87" t="s">
        <v>764</v>
      </c>
      <c r="B25" s="88">
        <v>51040.3</v>
      </c>
      <c r="C25" s="78" t="s">
        <v>765</v>
      </c>
      <c r="D25" s="92">
        <v>6278</v>
      </c>
      <c r="E25" s="62">
        <v>6500</v>
      </c>
      <c r="F25" s="63">
        <v>5488.62</v>
      </c>
      <c r="G25" s="63">
        <v>6500</v>
      </c>
      <c r="H25" s="52">
        <f>+F25-G25</f>
        <v>-1011.3800000000001</v>
      </c>
      <c r="I25" s="37"/>
    </row>
    <row r="26" spans="1:10" x14ac:dyDescent="0.25">
      <c r="A26" s="87" t="s">
        <v>766</v>
      </c>
      <c r="B26" s="88">
        <v>4200</v>
      </c>
      <c r="C26" s="75" t="s">
        <v>767</v>
      </c>
      <c r="D26" s="89">
        <f>SUM(D22:D25)</f>
        <v>124167</v>
      </c>
      <c r="E26" s="89">
        <f>SUM(E22:E25)</f>
        <v>118972</v>
      </c>
      <c r="F26" s="89">
        <f>SUM(F22:F25)</f>
        <v>122578.89</v>
      </c>
      <c r="G26" s="95">
        <f>SUM(G22:G25)</f>
        <v>115692</v>
      </c>
      <c r="H26" s="96">
        <f>SUM(H22:H25)</f>
        <v>6886.890000000004</v>
      </c>
      <c r="I26" s="37"/>
    </row>
    <row r="27" spans="1:10" x14ac:dyDescent="0.25">
      <c r="A27" s="87" t="s">
        <v>768</v>
      </c>
      <c r="B27" s="88">
        <v>-2844.36</v>
      </c>
      <c r="C27" s="97"/>
      <c r="D27" s="98"/>
      <c r="E27" s="62"/>
      <c r="F27" s="63"/>
      <c r="G27" s="63"/>
      <c r="H27" s="52"/>
      <c r="I27" s="37"/>
    </row>
    <row r="28" spans="1:10" x14ac:dyDescent="0.25">
      <c r="A28" s="87" t="s">
        <v>769</v>
      </c>
      <c r="B28" s="88">
        <v>101348</v>
      </c>
      <c r="C28" s="55" t="s">
        <v>770</v>
      </c>
      <c r="D28" s="91"/>
      <c r="E28" s="62"/>
      <c r="F28" s="63"/>
      <c r="G28" s="63"/>
      <c r="H28" s="52"/>
      <c r="I28" s="37"/>
    </row>
    <row r="29" spans="1:10" x14ac:dyDescent="0.25">
      <c r="A29" s="99" t="s">
        <v>771</v>
      </c>
      <c r="B29" s="100">
        <v>-34932</v>
      </c>
      <c r="C29" s="78" t="s">
        <v>772</v>
      </c>
      <c r="D29" s="92">
        <f>1425996-592764-67887-232022-56280-75303</f>
        <v>401740</v>
      </c>
      <c r="E29" s="62">
        <v>333742</v>
      </c>
      <c r="F29" s="66">
        <f>1346881.19-1021497+6694</f>
        <v>332078.18999999994</v>
      </c>
      <c r="G29" s="101">
        <f>1377195-1025575</f>
        <v>351620</v>
      </c>
      <c r="H29" s="52">
        <f>F29-G29</f>
        <v>-19541.810000000056</v>
      </c>
      <c r="I29" s="37"/>
    </row>
    <row r="30" spans="1:10" ht="15.75" thickBot="1" x14ac:dyDescent="0.3">
      <c r="A30" s="102" t="s">
        <v>773</v>
      </c>
      <c r="B30" s="103">
        <f>SUM(B19:B29)</f>
        <v>1794725.52</v>
      </c>
      <c r="C30" s="78" t="s">
        <v>774</v>
      </c>
      <c r="D30" s="92">
        <v>232022</v>
      </c>
      <c r="E30" s="62">
        <v>201703</v>
      </c>
      <c r="F30" s="63">
        <v>208792.22</v>
      </c>
      <c r="G30" s="63">
        <v>201703</v>
      </c>
      <c r="H30" s="52">
        <f>F30-G30</f>
        <v>7089.2200000000012</v>
      </c>
      <c r="I30" s="37"/>
    </row>
    <row r="31" spans="1:10" x14ac:dyDescent="0.25">
      <c r="A31" s="8"/>
      <c r="B31" s="8"/>
      <c r="C31" s="78" t="s">
        <v>775</v>
      </c>
      <c r="D31" s="92">
        <f>792234-592764-67887-56280</f>
        <v>75303</v>
      </c>
      <c r="E31" s="62">
        <v>82698</v>
      </c>
      <c r="F31" s="66">
        <f>812379.78-620432-122579</f>
        <v>69368.780000000028</v>
      </c>
      <c r="G31" s="66">
        <f>823572-638073-115692</f>
        <v>69807</v>
      </c>
      <c r="H31" s="52">
        <f>F31-G31</f>
        <v>-438.21999999997206</v>
      </c>
      <c r="I31" s="37"/>
      <c r="J31" s="29"/>
    </row>
    <row r="32" spans="1:10" x14ac:dyDescent="0.25">
      <c r="A32" s="104"/>
      <c r="B32" s="105"/>
      <c r="C32" s="78" t="s">
        <v>776</v>
      </c>
      <c r="D32" s="92">
        <v>0</v>
      </c>
      <c r="E32" s="62">
        <v>2000</v>
      </c>
      <c r="F32" s="63">
        <v>325</v>
      </c>
      <c r="G32" s="63">
        <v>300</v>
      </c>
      <c r="H32" s="52">
        <f>F32-G32</f>
        <v>25</v>
      </c>
      <c r="I32" s="68"/>
    </row>
    <row r="33" spans="1:11" x14ac:dyDescent="0.25">
      <c r="A33" s="106"/>
      <c r="B33" s="107"/>
      <c r="C33" s="75" t="s">
        <v>777</v>
      </c>
      <c r="D33" s="89">
        <f>SUM(D29:D32)</f>
        <v>709065</v>
      </c>
      <c r="E33" s="89">
        <f>SUM(E29:E32)</f>
        <v>620143</v>
      </c>
      <c r="F33" s="89">
        <f>SUM(F29:F32)</f>
        <v>610564.18999999994</v>
      </c>
      <c r="G33" s="89">
        <f>SUM(G29:G32)</f>
        <v>623430</v>
      </c>
      <c r="H33" s="90">
        <f>SUM(H29:H32)</f>
        <v>-12865.810000000027</v>
      </c>
      <c r="I33" s="68"/>
    </row>
    <row r="34" spans="1:11" ht="5.0999999999999996" customHeight="1" x14ac:dyDescent="0.25">
      <c r="A34" s="106"/>
      <c r="B34" s="107"/>
      <c r="C34" s="78"/>
      <c r="D34" s="92"/>
      <c r="E34" s="62"/>
      <c r="F34" s="63"/>
      <c r="G34" s="63"/>
      <c r="H34" s="52"/>
      <c r="I34" s="37"/>
    </row>
    <row r="35" spans="1:11" x14ac:dyDescent="0.25">
      <c r="A35" s="106"/>
      <c r="B35" s="107"/>
      <c r="C35" s="75" t="s">
        <v>778</v>
      </c>
      <c r="D35" s="89">
        <f>+D11</f>
        <v>1393482</v>
      </c>
      <c r="E35" s="77">
        <f>+E11</f>
        <v>1380295</v>
      </c>
      <c r="F35" s="77">
        <f>+F11</f>
        <v>1411163.51</v>
      </c>
      <c r="G35" s="77">
        <f>+G11</f>
        <v>1380296</v>
      </c>
      <c r="H35" s="77">
        <f>+H11</f>
        <v>30867.510000000009</v>
      </c>
      <c r="I35" s="37"/>
    </row>
    <row r="36" spans="1:11" x14ac:dyDescent="0.25">
      <c r="A36" s="106"/>
      <c r="B36" s="107"/>
      <c r="C36" s="75" t="s">
        <v>779</v>
      </c>
      <c r="D36" s="89">
        <f>+D19+D26+D33</f>
        <v>1383376</v>
      </c>
      <c r="E36" s="77">
        <f>+E19+E26+E33</f>
        <v>1377194</v>
      </c>
      <c r="F36" s="77">
        <f>+F19+F26+F33</f>
        <v>1355553.26</v>
      </c>
      <c r="G36" s="77">
        <f>+G19+G26+G33</f>
        <v>1377195.05</v>
      </c>
      <c r="H36" s="77">
        <f>+H19+H26+H33</f>
        <v>-21641.789999999986</v>
      </c>
      <c r="I36" s="37"/>
    </row>
    <row r="37" spans="1:11" ht="26.1" customHeight="1" thickBot="1" x14ac:dyDescent="0.3">
      <c r="A37" s="106"/>
      <c r="B37" s="107"/>
      <c r="C37" s="108" t="s">
        <v>780</v>
      </c>
      <c r="D37" s="109">
        <f>+D35-D36</f>
        <v>10106</v>
      </c>
      <c r="E37" s="110">
        <f>+E35-E36</f>
        <v>3101</v>
      </c>
      <c r="F37" s="111">
        <f>+F35-F36</f>
        <v>55610.25</v>
      </c>
      <c r="G37" s="110">
        <f>+G35-G36</f>
        <v>3100.9499999999534</v>
      </c>
      <c r="H37" s="110">
        <f>+H35-H36</f>
        <v>52509.299999999996</v>
      </c>
      <c r="I37" s="112" t="s">
        <v>781</v>
      </c>
      <c r="J37" s="113"/>
      <c r="K37" s="113"/>
    </row>
    <row r="38" spans="1:11" x14ac:dyDescent="0.25">
      <c r="A38" s="114"/>
      <c r="B38" s="115"/>
      <c r="C38" s="116"/>
      <c r="D38" s="10"/>
      <c r="E38" s="10"/>
      <c r="F38" s="117"/>
      <c r="G38" s="10"/>
    </row>
    <row r="39" spans="1:11" x14ac:dyDescent="0.25">
      <c r="A39" s="118"/>
      <c r="B39" s="119"/>
      <c r="C39" s="10"/>
      <c r="D39" s="10"/>
      <c r="E39" s="10"/>
      <c r="F39" s="117"/>
      <c r="G39" s="10"/>
    </row>
  </sheetData>
  <mergeCells count="2">
    <mergeCell ref="A1:H1"/>
    <mergeCell ref="A2:H2"/>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23"/>
  <sheetViews>
    <sheetView workbookViewId="0">
      <selection activeCell="G10" sqref="G10"/>
    </sheetView>
  </sheetViews>
  <sheetFormatPr defaultColWidth="9.140625" defaultRowHeight="12.75" x14ac:dyDescent="0.2"/>
  <cols>
    <col min="1" max="1" width="17.7109375" style="29" customWidth="1"/>
    <col min="2" max="2" width="32.7109375" style="29" customWidth="1"/>
    <col min="3" max="4" width="14.7109375" style="29" customWidth="1"/>
    <col min="5" max="16384" width="9.140625" style="29"/>
  </cols>
  <sheetData>
    <row r="1" spans="1:4" ht="25.5" x14ac:dyDescent="0.2">
      <c r="A1" s="26" t="s">
        <v>432</v>
      </c>
      <c r="B1" s="26" t="s">
        <v>1</v>
      </c>
      <c r="C1" s="27" t="s">
        <v>433</v>
      </c>
      <c r="D1" s="28" t="s">
        <v>434</v>
      </c>
    </row>
    <row r="2" spans="1:4" x14ac:dyDescent="0.2">
      <c r="A2" s="30" t="s">
        <v>435</v>
      </c>
    </row>
    <row r="3" spans="1:4" x14ac:dyDescent="0.2">
      <c r="A3" s="30" t="s">
        <v>30</v>
      </c>
      <c r="B3" s="30" t="s">
        <v>436</v>
      </c>
      <c r="C3" s="31">
        <v>21823.48</v>
      </c>
      <c r="D3" s="32">
        <v>27000</v>
      </c>
    </row>
    <row r="4" spans="1:4" x14ac:dyDescent="0.2">
      <c r="A4" s="30" t="s">
        <v>34</v>
      </c>
      <c r="B4" s="30" t="s">
        <v>437</v>
      </c>
      <c r="C4" s="32">
        <v>3832.5</v>
      </c>
      <c r="D4" s="32">
        <v>5000</v>
      </c>
    </row>
    <row r="5" spans="1:4" x14ac:dyDescent="0.2">
      <c r="A5" s="30" t="s">
        <v>20</v>
      </c>
      <c r="B5" s="30" t="s">
        <v>438</v>
      </c>
      <c r="C5" s="32">
        <v>10540</v>
      </c>
      <c r="D5" s="32">
        <v>12000</v>
      </c>
    </row>
    <row r="6" spans="1:4" x14ac:dyDescent="0.2">
      <c r="A6" s="30" t="s">
        <v>22</v>
      </c>
      <c r="B6" s="30" t="s">
        <v>439</v>
      </c>
      <c r="C6" s="32">
        <v>1156.58</v>
      </c>
      <c r="D6" s="32">
        <v>1200</v>
      </c>
    </row>
    <row r="7" spans="1:4" x14ac:dyDescent="0.2">
      <c r="A7" s="30" t="s">
        <v>440</v>
      </c>
      <c r="B7" s="30" t="s">
        <v>441</v>
      </c>
      <c r="C7" s="32">
        <v>0</v>
      </c>
      <c r="D7" s="32">
        <v>23676</v>
      </c>
    </row>
    <row r="8" spans="1:4" x14ac:dyDescent="0.2">
      <c r="A8" s="30" t="s">
        <v>442</v>
      </c>
      <c r="B8" s="30" t="s">
        <v>24</v>
      </c>
      <c r="C8" s="32">
        <v>26119.759999999998</v>
      </c>
      <c r="D8" s="32">
        <v>0</v>
      </c>
    </row>
    <row r="9" spans="1:4" x14ac:dyDescent="0.2">
      <c r="A9" s="30" t="s">
        <v>17</v>
      </c>
      <c r="B9" s="30" t="s">
        <v>443</v>
      </c>
      <c r="C9" s="32">
        <v>588708.1</v>
      </c>
      <c r="D9" s="32">
        <v>595000</v>
      </c>
    </row>
    <row r="10" spans="1:4" x14ac:dyDescent="0.2">
      <c r="A10" s="30" t="s">
        <v>36</v>
      </c>
      <c r="B10" s="30" t="s">
        <v>444</v>
      </c>
      <c r="C10" s="32">
        <v>159784.65</v>
      </c>
      <c r="D10" s="32">
        <v>157250</v>
      </c>
    </row>
    <row r="11" spans="1:4" x14ac:dyDescent="0.2">
      <c r="A11" s="30" t="s">
        <v>52</v>
      </c>
      <c r="B11" s="30" t="s">
        <v>445</v>
      </c>
      <c r="C11" s="32">
        <v>1973.35</v>
      </c>
      <c r="D11" s="32">
        <v>0</v>
      </c>
    </row>
    <row r="12" spans="1:4" x14ac:dyDescent="0.2">
      <c r="A12" s="30" t="s">
        <v>38</v>
      </c>
      <c r="B12" s="30" t="s">
        <v>446</v>
      </c>
      <c r="C12" s="32">
        <v>9479</v>
      </c>
      <c r="D12" s="32">
        <v>7915</v>
      </c>
    </row>
    <row r="13" spans="1:4" x14ac:dyDescent="0.2">
      <c r="A13" s="30" t="s">
        <v>39</v>
      </c>
      <c r="B13" s="30" t="s">
        <v>447</v>
      </c>
      <c r="C13" s="32">
        <v>15245</v>
      </c>
      <c r="D13" s="32">
        <v>12020</v>
      </c>
    </row>
    <row r="14" spans="1:4" x14ac:dyDescent="0.2">
      <c r="A14" s="30" t="s">
        <v>40</v>
      </c>
      <c r="B14" s="30" t="s">
        <v>448</v>
      </c>
      <c r="C14" s="32">
        <v>10671.95</v>
      </c>
      <c r="D14" s="32">
        <v>10740</v>
      </c>
    </row>
    <row r="15" spans="1:4" x14ac:dyDescent="0.2">
      <c r="A15" s="30" t="s">
        <v>44</v>
      </c>
      <c r="B15" s="30" t="s">
        <v>449</v>
      </c>
      <c r="C15" s="32">
        <v>8531</v>
      </c>
      <c r="D15" s="32">
        <v>7900</v>
      </c>
    </row>
    <row r="16" spans="1:4" x14ac:dyDescent="0.2">
      <c r="A16" s="30" t="s">
        <v>55</v>
      </c>
      <c r="B16" s="30" t="s">
        <v>450</v>
      </c>
      <c r="C16" s="32">
        <v>1686.13</v>
      </c>
      <c r="D16" s="32">
        <v>1300</v>
      </c>
    </row>
    <row r="17" spans="1:4" x14ac:dyDescent="0.2">
      <c r="A17" s="30" t="s">
        <v>57</v>
      </c>
      <c r="B17" s="30" t="s">
        <v>58</v>
      </c>
      <c r="C17" s="32">
        <v>194.85</v>
      </c>
      <c r="D17" s="32">
        <v>150</v>
      </c>
    </row>
    <row r="18" spans="1:4" x14ac:dyDescent="0.2">
      <c r="A18" s="30" t="s">
        <v>63</v>
      </c>
      <c r="B18" s="30" t="s">
        <v>451</v>
      </c>
      <c r="C18" s="32">
        <v>2865.82</v>
      </c>
      <c r="D18" s="32">
        <v>2500</v>
      </c>
    </row>
    <row r="19" spans="1:4" x14ac:dyDescent="0.2">
      <c r="A19" s="30" t="s">
        <v>59</v>
      </c>
      <c r="B19" s="30" t="s">
        <v>452</v>
      </c>
      <c r="C19" s="32">
        <v>18892.759999999998</v>
      </c>
      <c r="D19" s="32">
        <v>11000</v>
      </c>
    </row>
    <row r="20" spans="1:4" x14ac:dyDescent="0.2">
      <c r="A20" s="30" t="s">
        <v>61</v>
      </c>
      <c r="B20" s="30" t="s">
        <v>453</v>
      </c>
      <c r="C20" s="32">
        <v>20074.89</v>
      </c>
      <c r="D20" s="32">
        <v>19000</v>
      </c>
    </row>
    <row r="21" spans="1:4" x14ac:dyDescent="0.2">
      <c r="A21" s="30" t="s">
        <v>66</v>
      </c>
      <c r="B21" s="30" t="s">
        <v>454</v>
      </c>
      <c r="C21" s="32">
        <v>63821.35</v>
      </c>
      <c r="D21" s="32">
        <v>62030</v>
      </c>
    </row>
    <row r="22" spans="1:4" x14ac:dyDescent="0.2">
      <c r="A22" s="30" t="s">
        <v>455</v>
      </c>
      <c r="B22" s="30" t="s">
        <v>456</v>
      </c>
      <c r="C22" s="32">
        <v>4425</v>
      </c>
      <c r="D22" s="32">
        <v>0</v>
      </c>
    </row>
    <row r="23" spans="1:4" x14ac:dyDescent="0.2">
      <c r="A23" s="30" t="s">
        <v>25</v>
      </c>
      <c r="B23" s="30" t="s">
        <v>457</v>
      </c>
      <c r="C23" s="32">
        <v>6236.81</v>
      </c>
      <c r="D23" s="32">
        <v>12650</v>
      </c>
    </row>
    <row r="24" spans="1:4" x14ac:dyDescent="0.2">
      <c r="A24" s="30" t="s">
        <v>97</v>
      </c>
      <c r="B24" s="30" t="s">
        <v>458</v>
      </c>
      <c r="C24" s="32">
        <v>19465</v>
      </c>
      <c r="D24" s="32">
        <v>17500</v>
      </c>
    </row>
    <row r="25" spans="1:4" x14ac:dyDescent="0.2">
      <c r="A25" s="30" t="s">
        <v>459</v>
      </c>
      <c r="B25" s="30" t="s">
        <v>460</v>
      </c>
      <c r="C25" s="32">
        <v>4177</v>
      </c>
      <c r="D25" s="32">
        <v>0</v>
      </c>
    </row>
    <row r="26" spans="1:4" x14ac:dyDescent="0.2">
      <c r="A26" s="30" t="s">
        <v>48</v>
      </c>
      <c r="B26" s="30" t="s">
        <v>461</v>
      </c>
      <c r="C26" s="32">
        <v>1312.95</v>
      </c>
      <c r="D26" s="32">
        <v>1500</v>
      </c>
    </row>
    <row r="27" spans="1:4" x14ac:dyDescent="0.2">
      <c r="A27" s="30" t="s">
        <v>27</v>
      </c>
      <c r="B27" s="30" t="s">
        <v>462</v>
      </c>
      <c r="C27" s="32">
        <v>1104.53</v>
      </c>
      <c r="D27" s="32">
        <v>1200</v>
      </c>
    </row>
    <row r="28" spans="1:4" x14ac:dyDescent="0.2">
      <c r="A28" s="30" t="s">
        <v>73</v>
      </c>
      <c r="B28" s="30" t="s">
        <v>463</v>
      </c>
      <c r="C28" s="32">
        <v>40628.31</v>
      </c>
      <c r="D28" s="32">
        <v>40000</v>
      </c>
    </row>
    <row r="29" spans="1:4" x14ac:dyDescent="0.2">
      <c r="A29" s="30" t="s">
        <v>69</v>
      </c>
      <c r="B29" s="30" t="s">
        <v>464</v>
      </c>
      <c r="C29" s="32">
        <v>916.63</v>
      </c>
      <c r="D29" s="32">
        <v>0</v>
      </c>
    </row>
    <row r="30" spans="1:4" x14ac:dyDescent="0.2">
      <c r="A30" s="30" t="s">
        <v>71</v>
      </c>
      <c r="B30" s="30" t="s">
        <v>465</v>
      </c>
      <c r="C30" s="32">
        <v>8323.35</v>
      </c>
      <c r="D30" s="32">
        <v>12000</v>
      </c>
    </row>
    <row r="31" spans="1:4" x14ac:dyDescent="0.2">
      <c r="A31" s="30" t="s">
        <v>86</v>
      </c>
      <c r="B31" s="30" t="s">
        <v>466</v>
      </c>
      <c r="C31" s="32">
        <v>18000</v>
      </c>
      <c r="D31" s="32">
        <v>20000</v>
      </c>
    </row>
    <row r="32" spans="1:4" x14ac:dyDescent="0.2">
      <c r="A32" s="30" t="s">
        <v>467</v>
      </c>
      <c r="B32" s="30" t="s">
        <v>468</v>
      </c>
      <c r="C32" s="32">
        <v>0</v>
      </c>
      <c r="D32" s="32">
        <v>5000</v>
      </c>
    </row>
    <row r="33" spans="1:4" x14ac:dyDescent="0.2">
      <c r="A33" s="30" t="s">
        <v>89</v>
      </c>
      <c r="B33" s="30" t="s">
        <v>469</v>
      </c>
      <c r="C33" s="32">
        <v>33500</v>
      </c>
      <c r="D33" s="32">
        <v>31500</v>
      </c>
    </row>
    <row r="34" spans="1:4" x14ac:dyDescent="0.2">
      <c r="A34" s="30" t="s">
        <v>90</v>
      </c>
      <c r="B34" s="30" t="s">
        <v>470</v>
      </c>
      <c r="C34" s="32">
        <v>29500</v>
      </c>
      <c r="D34" s="32">
        <v>30000</v>
      </c>
    </row>
    <row r="35" spans="1:4" x14ac:dyDescent="0.2">
      <c r="A35" s="30" t="s">
        <v>32</v>
      </c>
      <c r="B35" s="30" t="s">
        <v>471</v>
      </c>
      <c r="C35" s="32">
        <v>38520</v>
      </c>
      <c r="D35" s="32">
        <v>40000</v>
      </c>
    </row>
    <row r="36" spans="1:4" x14ac:dyDescent="0.2">
      <c r="A36" s="30" t="s">
        <v>42</v>
      </c>
      <c r="B36" s="30" t="s">
        <v>472</v>
      </c>
      <c r="C36" s="32">
        <v>36836.51</v>
      </c>
      <c r="D36" s="32">
        <v>33900</v>
      </c>
    </row>
    <row r="37" spans="1:4" x14ac:dyDescent="0.2">
      <c r="A37" s="30" t="s">
        <v>100</v>
      </c>
      <c r="B37" s="30" t="s">
        <v>473</v>
      </c>
      <c r="C37" s="32">
        <v>0</v>
      </c>
      <c r="D37" s="32">
        <v>10263</v>
      </c>
    </row>
    <row r="38" spans="1:4" x14ac:dyDescent="0.2">
      <c r="A38" s="30" t="s">
        <v>83</v>
      </c>
      <c r="B38" s="30" t="s">
        <v>474</v>
      </c>
      <c r="C38" s="32">
        <v>5500</v>
      </c>
      <c r="D38" s="32">
        <v>5500</v>
      </c>
    </row>
    <row r="39" spans="1:4" x14ac:dyDescent="0.2">
      <c r="A39" s="30" t="s">
        <v>46</v>
      </c>
      <c r="B39" s="30" t="s">
        <v>47</v>
      </c>
      <c r="C39" s="32">
        <v>2990</v>
      </c>
      <c r="D39" s="32">
        <v>4025</v>
      </c>
    </row>
    <row r="40" spans="1:4" x14ac:dyDescent="0.2">
      <c r="A40" s="30" t="s">
        <v>92</v>
      </c>
      <c r="B40" s="30" t="s">
        <v>93</v>
      </c>
      <c r="C40" s="32">
        <v>4497.2</v>
      </c>
      <c r="D40" s="32">
        <v>0</v>
      </c>
    </row>
    <row r="41" spans="1:4" x14ac:dyDescent="0.2">
      <c r="A41" s="30" t="s">
        <v>475</v>
      </c>
      <c r="B41" s="30" t="s">
        <v>476</v>
      </c>
      <c r="C41" s="32">
        <v>0</v>
      </c>
      <c r="D41" s="32">
        <v>5250</v>
      </c>
    </row>
    <row r="42" spans="1:4" x14ac:dyDescent="0.2">
      <c r="A42" s="30" t="s">
        <v>94</v>
      </c>
      <c r="B42" s="30" t="s">
        <v>477</v>
      </c>
      <c r="C42" s="32">
        <v>55165.1</v>
      </c>
      <c r="D42" s="32">
        <v>53994</v>
      </c>
    </row>
    <row r="43" spans="1:4" x14ac:dyDescent="0.2">
      <c r="A43" s="30" t="s">
        <v>478</v>
      </c>
      <c r="B43" s="30" t="s">
        <v>479</v>
      </c>
      <c r="C43" s="32">
        <v>3159.39</v>
      </c>
      <c r="D43" s="32">
        <v>0</v>
      </c>
    </row>
    <row r="44" spans="1:4" x14ac:dyDescent="0.2">
      <c r="A44" s="30" t="s">
        <v>96</v>
      </c>
      <c r="B44" s="30" t="s">
        <v>480</v>
      </c>
      <c r="C44" s="32">
        <f>54772.95+4496.1</f>
        <v>59269.049999999996</v>
      </c>
      <c r="D44" s="32">
        <v>43850</v>
      </c>
    </row>
    <row r="45" spans="1:4" x14ac:dyDescent="0.2">
      <c r="A45" s="30" t="s">
        <v>481</v>
      </c>
      <c r="B45" s="30" t="s">
        <v>482</v>
      </c>
      <c r="C45" s="32">
        <v>164.79</v>
      </c>
      <c r="D45" s="32">
        <v>0</v>
      </c>
    </row>
    <row r="46" spans="1:4" x14ac:dyDescent="0.2">
      <c r="A46" s="30" t="s">
        <v>483</v>
      </c>
      <c r="B46" s="30" t="s">
        <v>484</v>
      </c>
      <c r="C46" s="32">
        <v>162.78</v>
      </c>
      <c r="D46" s="32">
        <v>0</v>
      </c>
    </row>
    <row r="47" spans="1:4" x14ac:dyDescent="0.2">
      <c r="A47" s="30" t="s">
        <v>485</v>
      </c>
      <c r="B47" s="30" t="s">
        <v>486</v>
      </c>
      <c r="C47" s="32">
        <v>48.47</v>
      </c>
      <c r="D47" s="32">
        <v>0</v>
      </c>
    </row>
    <row r="48" spans="1:4" x14ac:dyDescent="0.2">
      <c r="A48" s="30" t="s">
        <v>487</v>
      </c>
      <c r="B48" s="30" t="s">
        <v>488</v>
      </c>
      <c r="C48" s="32">
        <v>6.46</v>
      </c>
      <c r="D48" s="32">
        <v>0</v>
      </c>
    </row>
    <row r="49" spans="1:4" x14ac:dyDescent="0.2">
      <c r="A49" s="30" t="s">
        <v>489</v>
      </c>
      <c r="B49" s="30" t="s">
        <v>490</v>
      </c>
      <c r="C49" s="32">
        <v>73232.240000000005</v>
      </c>
      <c r="D49" s="32">
        <v>0</v>
      </c>
    </row>
    <row r="50" spans="1:4" x14ac:dyDescent="0.2">
      <c r="A50" s="30" t="s">
        <v>491</v>
      </c>
      <c r="B50" s="30" t="s">
        <v>492</v>
      </c>
      <c r="C50" s="32">
        <v>-1402</v>
      </c>
      <c r="D50" s="32">
        <v>0</v>
      </c>
    </row>
    <row r="51" spans="1:4" x14ac:dyDescent="0.2">
      <c r="A51" s="30" t="s">
        <v>493</v>
      </c>
      <c r="B51" s="30" t="s">
        <v>494</v>
      </c>
      <c r="C51" s="32">
        <v>23.26</v>
      </c>
      <c r="D51" s="32">
        <v>0</v>
      </c>
    </row>
    <row r="52" spans="1:4" x14ac:dyDescent="0.2">
      <c r="A52" s="30" t="s">
        <v>495</v>
      </c>
      <c r="B52" s="30" t="s">
        <v>496</v>
      </c>
      <c r="C52" s="32">
        <v>0</v>
      </c>
      <c r="D52" s="32">
        <v>45243</v>
      </c>
    </row>
    <row r="53" spans="1:4" x14ac:dyDescent="0.2">
      <c r="A53" s="30" t="s">
        <v>497</v>
      </c>
      <c r="B53" s="30" t="s">
        <v>498</v>
      </c>
      <c r="C53" s="32">
        <v>0</v>
      </c>
      <c r="D53" s="32">
        <v>11240</v>
      </c>
    </row>
    <row r="54" spans="1:4" customFormat="1" ht="15" x14ac:dyDescent="0.25">
      <c r="A54" s="33"/>
      <c r="B54" s="33"/>
      <c r="C54" s="34"/>
      <c r="D54" s="34"/>
    </row>
    <row r="55" spans="1:4" x14ac:dyDescent="0.2">
      <c r="A55" s="30" t="s">
        <v>113</v>
      </c>
      <c r="B55" s="30" t="s">
        <v>499</v>
      </c>
      <c r="C55" s="32">
        <f>ROUND(SUBTOTAL(9, C2:C54), 5)</f>
        <v>1411164</v>
      </c>
      <c r="D55" s="32">
        <f>ROUND(SUBTOTAL(9, D2:D54), 5)</f>
        <v>1380296</v>
      </c>
    </row>
    <row r="56" spans="1:4" customFormat="1" ht="15" x14ac:dyDescent="0.25">
      <c r="A56" s="33"/>
      <c r="B56" s="33"/>
      <c r="C56" s="34"/>
      <c r="D56" s="34"/>
    </row>
    <row r="57" spans="1:4" x14ac:dyDescent="0.2">
      <c r="A57" s="26" t="s">
        <v>113</v>
      </c>
    </row>
    <row r="58" spans="1:4" x14ac:dyDescent="0.2">
      <c r="A58" s="30" t="s">
        <v>500</v>
      </c>
    </row>
    <row r="59" spans="1:4" x14ac:dyDescent="0.2">
      <c r="A59" s="30" t="s">
        <v>501</v>
      </c>
      <c r="B59" s="30" t="s">
        <v>502</v>
      </c>
      <c r="C59" s="32">
        <v>26583.71</v>
      </c>
      <c r="D59" s="32">
        <v>0</v>
      </c>
    </row>
    <row r="60" spans="1:4" x14ac:dyDescent="0.2">
      <c r="A60" s="30" t="s">
        <v>503</v>
      </c>
      <c r="B60" s="30" t="s">
        <v>504</v>
      </c>
      <c r="C60" s="32">
        <v>2009.73</v>
      </c>
      <c r="D60" s="32">
        <v>0</v>
      </c>
    </row>
    <row r="61" spans="1:4" x14ac:dyDescent="0.2">
      <c r="A61" s="30" t="s">
        <v>505</v>
      </c>
      <c r="B61" s="30" t="s">
        <v>506</v>
      </c>
      <c r="C61" s="32">
        <v>2541.54</v>
      </c>
      <c r="D61" s="32">
        <v>0</v>
      </c>
    </row>
    <row r="62" spans="1:4" x14ac:dyDescent="0.2">
      <c r="A62" s="30" t="s">
        <v>507</v>
      </c>
      <c r="B62" s="30" t="s">
        <v>150</v>
      </c>
      <c r="C62" s="32">
        <v>485.49</v>
      </c>
      <c r="D62" s="32">
        <v>0</v>
      </c>
    </row>
    <row r="63" spans="1:4" x14ac:dyDescent="0.2">
      <c r="A63" s="30" t="s">
        <v>508</v>
      </c>
      <c r="B63" s="30" t="s">
        <v>152</v>
      </c>
      <c r="C63" s="32">
        <v>1203.05</v>
      </c>
      <c r="D63" s="32">
        <v>0</v>
      </c>
    </row>
    <row r="64" spans="1:4" x14ac:dyDescent="0.2">
      <c r="A64" s="30" t="s">
        <v>117</v>
      </c>
      <c r="B64" s="30" t="s">
        <v>118</v>
      </c>
      <c r="C64" s="32">
        <v>317.13</v>
      </c>
      <c r="D64" s="32">
        <v>0</v>
      </c>
    </row>
    <row r="65" spans="1:4" x14ac:dyDescent="0.2">
      <c r="A65" s="30" t="s">
        <v>119</v>
      </c>
      <c r="B65" s="30" t="s">
        <v>120</v>
      </c>
      <c r="C65" s="32">
        <v>343.55</v>
      </c>
      <c r="D65" s="32">
        <v>0</v>
      </c>
    </row>
    <row r="66" spans="1:4" x14ac:dyDescent="0.2">
      <c r="A66" s="30" t="s">
        <v>121</v>
      </c>
      <c r="B66" s="30" t="s">
        <v>122</v>
      </c>
      <c r="C66" s="32">
        <v>213.8</v>
      </c>
      <c r="D66" s="32">
        <v>0</v>
      </c>
    </row>
    <row r="67" spans="1:4" x14ac:dyDescent="0.2">
      <c r="A67" s="30" t="s">
        <v>123</v>
      </c>
      <c r="B67" s="30" t="s">
        <v>124</v>
      </c>
      <c r="C67" s="32">
        <v>2488.12</v>
      </c>
      <c r="D67" s="32">
        <v>0</v>
      </c>
    </row>
    <row r="68" spans="1:4" x14ac:dyDescent="0.2">
      <c r="A68" s="30" t="s">
        <v>509</v>
      </c>
      <c r="B68" s="30" t="s">
        <v>162</v>
      </c>
      <c r="C68" s="32">
        <v>2952</v>
      </c>
      <c r="D68" s="32">
        <v>0</v>
      </c>
    </row>
    <row r="69" spans="1:4" x14ac:dyDescent="0.2">
      <c r="A69" s="30" t="s">
        <v>510</v>
      </c>
      <c r="B69" s="30" t="s">
        <v>166</v>
      </c>
      <c r="C69" s="32">
        <v>293.98</v>
      </c>
      <c r="D69" s="32">
        <v>0</v>
      </c>
    </row>
    <row r="70" spans="1:4" x14ac:dyDescent="0.2">
      <c r="A70" s="30" t="s">
        <v>125</v>
      </c>
      <c r="B70" s="30" t="s">
        <v>126</v>
      </c>
      <c r="C70" s="32">
        <v>18030.62</v>
      </c>
      <c r="D70" s="32">
        <v>9600</v>
      </c>
    </row>
    <row r="71" spans="1:4" x14ac:dyDescent="0.2">
      <c r="A71" s="30" t="s">
        <v>127</v>
      </c>
      <c r="B71" s="30" t="s">
        <v>128</v>
      </c>
      <c r="C71" s="32">
        <v>7562.09</v>
      </c>
      <c r="D71" s="32">
        <v>3000</v>
      </c>
    </row>
    <row r="72" spans="1:4" x14ac:dyDescent="0.2">
      <c r="A72" s="30" t="s">
        <v>129</v>
      </c>
      <c r="B72" s="30" t="s">
        <v>511</v>
      </c>
      <c r="C72" s="32">
        <v>325</v>
      </c>
      <c r="D72" s="32">
        <v>2150</v>
      </c>
    </row>
    <row r="73" spans="1:4" x14ac:dyDescent="0.2">
      <c r="A73" s="30" t="s">
        <v>512</v>
      </c>
      <c r="B73" s="30" t="s">
        <v>177</v>
      </c>
      <c r="C73" s="32">
        <v>856.71</v>
      </c>
      <c r="D73" s="32">
        <v>0</v>
      </c>
    </row>
    <row r="74" spans="1:4" x14ac:dyDescent="0.2">
      <c r="A74" s="30" t="s">
        <v>131</v>
      </c>
      <c r="B74" s="30" t="s">
        <v>132</v>
      </c>
      <c r="C74" s="32">
        <v>1260</v>
      </c>
      <c r="D74" s="32">
        <v>2000</v>
      </c>
    </row>
    <row r="75" spans="1:4" x14ac:dyDescent="0.2">
      <c r="A75" s="30" t="s">
        <v>137</v>
      </c>
      <c r="B75" s="30" t="s">
        <v>138</v>
      </c>
      <c r="C75" s="32">
        <v>51.27</v>
      </c>
      <c r="D75" s="32">
        <v>0</v>
      </c>
    </row>
    <row r="76" spans="1:4" x14ac:dyDescent="0.2">
      <c r="A76" s="30" t="s">
        <v>135</v>
      </c>
      <c r="B76" s="30" t="s">
        <v>136</v>
      </c>
      <c r="C76" s="32">
        <v>1650</v>
      </c>
      <c r="D76" s="32">
        <v>1000</v>
      </c>
    </row>
    <row r="77" spans="1:4" x14ac:dyDescent="0.2">
      <c r="A77" s="30"/>
      <c r="B77" s="30" t="s">
        <v>711</v>
      </c>
      <c r="C77" s="32">
        <f>SUM(C59:C76)</f>
        <v>69167.790000000023</v>
      </c>
      <c r="D77" s="32">
        <f t="shared" ref="D77" si="0">SUM(D59:D76)</f>
        <v>17750</v>
      </c>
    </row>
    <row r="78" spans="1:4" x14ac:dyDescent="0.2">
      <c r="A78" s="30"/>
      <c r="B78" s="30"/>
      <c r="C78" s="32"/>
      <c r="D78" s="32"/>
    </row>
    <row r="79" spans="1:4" x14ac:dyDescent="0.2">
      <c r="A79" s="30" t="s">
        <v>141</v>
      </c>
      <c r="B79" s="30" t="s">
        <v>513</v>
      </c>
      <c r="C79" s="32">
        <v>163323.96</v>
      </c>
      <c r="D79" s="32">
        <v>510336</v>
      </c>
    </row>
    <row r="80" spans="1:4" x14ac:dyDescent="0.2">
      <c r="A80" s="30" t="s">
        <v>143</v>
      </c>
      <c r="B80" s="30" t="s">
        <v>514</v>
      </c>
      <c r="C80" s="32">
        <v>74.87</v>
      </c>
      <c r="D80" s="32">
        <v>2965</v>
      </c>
    </row>
    <row r="81" spans="1:4" x14ac:dyDescent="0.2">
      <c r="A81" s="30" t="s">
        <v>145</v>
      </c>
      <c r="B81" s="30" t="s">
        <v>504</v>
      </c>
      <c r="C81" s="32">
        <v>14837.5</v>
      </c>
      <c r="D81" s="32">
        <v>39041.040000000001</v>
      </c>
    </row>
    <row r="82" spans="1:4" x14ac:dyDescent="0.2">
      <c r="A82" s="30" t="s">
        <v>147</v>
      </c>
      <c r="B82" s="30" t="s">
        <v>506</v>
      </c>
      <c r="C82" s="32">
        <v>15614.66</v>
      </c>
      <c r="D82" s="32">
        <v>49829.04</v>
      </c>
    </row>
    <row r="83" spans="1:4" x14ac:dyDescent="0.2">
      <c r="A83" s="30" t="s">
        <v>149</v>
      </c>
      <c r="B83" s="30" t="s">
        <v>150</v>
      </c>
      <c r="C83" s="32">
        <v>2982.69</v>
      </c>
      <c r="D83" s="32">
        <v>7420</v>
      </c>
    </row>
    <row r="84" spans="1:4" x14ac:dyDescent="0.2">
      <c r="A84" s="30" t="s">
        <v>151</v>
      </c>
      <c r="B84" s="30" t="s">
        <v>152</v>
      </c>
      <c r="C84" s="32">
        <v>7391.23</v>
      </c>
      <c r="D84" s="32">
        <v>28488</v>
      </c>
    </row>
    <row r="85" spans="1:4" x14ac:dyDescent="0.2">
      <c r="A85" s="30" t="s">
        <v>153</v>
      </c>
      <c r="B85" s="30" t="s">
        <v>118</v>
      </c>
      <c r="C85" s="32">
        <v>1008.38</v>
      </c>
      <c r="D85" s="32">
        <v>6000</v>
      </c>
    </row>
    <row r="86" spans="1:4" x14ac:dyDescent="0.2">
      <c r="A86" s="30" t="s">
        <v>154</v>
      </c>
      <c r="B86" s="30" t="s">
        <v>120</v>
      </c>
      <c r="C86" s="32">
        <v>2110.67</v>
      </c>
      <c r="D86" s="32">
        <v>2335</v>
      </c>
    </row>
    <row r="87" spans="1:4" x14ac:dyDescent="0.2">
      <c r="A87" s="30" t="s">
        <v>155</v>
      </c>
      <c r="B87" s="30" t="s">
        <v>515</v>
      </c>
      <c r="C87" s="32">
        <v>0</v>
      </c>
      <c r="D87" s="32">
        <v>200</v>
      </c>
    </row>
    <row r="88" spans="1:4" x14ac:dyDescent="0.2">
      <c r="A88" s="30" t="s">
        <v>157</v>
      </c>
      <c r="B88" s="30" t="s">
        <v>122</v>
      </c>
      <c r="C88" s="32">
        <v>1313.52</v>
      </c>
      <c r="D88" s="32">
        <v>5000</v>
      </c>
    </row>
    <row r="89" spans="1:4" x14ac:dyDescent="0.2">
      <c r="A89" s="30" t="s">
        <v>159</v>
      </c>
      <c r="B89" s="30" t="s">
        <v>160</v>
      </c>
      <c r="C89" s="32">
        <v>1748.09</v>
      </c>
      <c r="D89" s="32">
        <v>5280</v>
      </c>
    </row>
    <row r="90" spans="1:4" x14ac:dyDescent="0.2">
      <c r="A90" s="30" t="s">
        <v>161</v>
      </c>
      <c r="B90" s="30" t="s">
        <v>162</v>
      </c>
      <c r="C90" s="32">
        <v>18676</v>
      </c>
      <c r="D90" s="32">
        <v>49200</v>
      </c>
    </row>
    <row r="91" spans="1:4" x14ac:dyDescent="0.2">
      <c r="A91" s="30" t="s">
        <v>163</v>
      </c>
      <c r="B91" s="30" t="s">
        <v>164</v>
      </c>
      <c r="C91" s="32">
        <v>1650</v>
      </c>
      <c r="D91" s="32">
        <v>1320</v>
      </c>
    </row>
    <row r="92" spans="1:4" x14ac:dyDescent="0.2">
      <c r="A92" s="30" t="s">
        <v>165</v>
      </c>
      <c r="B92" s="30" t="s">
        <v>166</v>
      </c>
      <c r="C92" s="32">
        <v>1806.12</v>
      </c>
      <c r="D92" s="32">
        <v>6500</v>
      </c>
    </row>
    <row r="93" spans="1:4" x14ac:dyDescent="0.2">
      <c r="A93" s="30" t="s">
        <v>167</v>
      </c>
      <c r="B93" s="30" t="s">
        <v>168</v>
      </c>
      <c r="C93" s="32">
        <v>1605.54</v>
      </c>
      <c r="D93" s="32">
        <v>2000</v>
      </c>
    </row>
    <row r="94" spans="1:4" x14ac:dyDescent="0.2">
      <c r="A94" s="30" t="s">
        <v>169</v>
      </c>
      <c r="B94" s="30" t="s">
        <v>170</v>
      </c>
      <c r="C94" s="32">
        <v>10383</v>
      </c>
      <c r="D94" s="32">
        <v>18100</v>
      </c>
    </row>
    <row r="95" spans="1:4" x14ac:dyDescent="0.2">
      <c r="A95" s="30" t="s">
        <v>174</v>
      </c>
      <c r="B95" s="30" t="s">
        <v>175</v>
      </c>
      <c r="C95" s="32">
        <v>300</v>
      </c>
      <c r="D95" s="32">
        <v>0</v>
      </c>
    </row>
    <row r="96" spans="1:4" x14ac:dyDescent="0.2">
      <c r="A96" s="30" t="s">
        <v>176</v>
      </c>
      <c r="B96" s="30" t="s">
        <v>177</v>
      </c>
      <c r="C96" s="32">
        <v>5263.43</v>
      </c>
      <c r="D96" s="32">
        <v>16500</v>
      </c>
    </row>
    <row r="97" spans="1:4" x14ac:dyDescent="0.2">
      <c r="A97" s="30" t="s">
        <v>178</v>
      </c>
      <c r="B97" s="30" t="s">
        <v>179</v>
      </c>
      <c r="C97" s="32">
        <v>3889.97</v>
      </c>
      <c r="D97" s="32">
        <v>5000</v>
      </c>
    </row>
    <row r="98" spans="1:4" x14ac:dyDescent="0.2">
      <c r="A98" s="30" t="s">
        <v>180</v>
      </c>
      <c r="B98" s="30" t="s">
        <v>516</v>
      </c>
      <c r="C98" s="32">
        <v>48654.26</v>
      </c>
      <c r="D98" s="32">
        <v>36572</v>
      </c>
    </row>
    <row r="99" spans="1:4" x14ac:dyDescent="0.2">
      <c r="A99" s="30" t="s">
        <v>182</v>
      </c>
      <c r="B99" s="30" t="s">
        <v>517</v>
      </c>
      <c r="C99" s="32">
        <v>12689.47</v>
      </c>
      <c r="D99" s="32">
        <v>2000</v>
      </c>
    </row>
    <row r="100" spans="1:4" x14ac:dyDescent="0.2">
      <c r="A100" s="30" t="s">
        <v>184</v>
      </c>
      <c r="B100" s="30" t="s">
        <v>138</v>
      </c>
      <c r="C100" s="32">
        <v>314.98</v>
      </c>
      <c r="D100" s="32">
        <v>3000</v>
      </c>
    </row>
    <row r="101" spans="1:4" x14ac:dyDescent="0.2">
      <c r="A101" s="30" t="s">
        <v>185</v>
      </c>
      <c r="B101" s="30" t="s">
        <v>518</v>
      </c>
      <c r="C101" s="32">
        <v>27981.57</v>
      </c>
      <c r="D101" s="32">
        <v>24573</v>
      </c>
    </row>
    <row r="102" spans="1:4" x14ac:dyDescent="0.2">
      <c r="A102" s="30" t="s">
        <v>188</v>
      </c>
      <c r="B102" s="30" t="s">
        <v>189</v>
      </c>
      <c r="C102" s="32">
        <v>2604.17</v>
      </c>
      <c r="D102" s="32">
        <v>2340</v>
      </c>
    </row>
    <row r="103" spans="1:4" x14ac:dyDescent="0.2">
      <c r="A103" s="30"/>
      <c r="B103" s="30" t="s">
        <v>711</v>
      </c>
      <c r="C103" s="32">
        <f>SUM(C79:C102)</f>
        <v>346224.07999999996</v>
      </c>
      <c r="D103" s="32">
        <f>SUM(D79:D102)</f>
        <v>823999.08000000007</v>
      </c>
    </row>
    <row r="104" spans="1:4" x14ac:dyDescent="0.2">
      <c r="A104" s="30"/>
      <c r="B104" s="30"/>
      <c r="C104" s="32"/>
      <c r="D104" s="32"/>
    </row>
    <row r="105" spans="1:4" x14ac:dyDescent="0.2">
      <c r="A105" s="30" t="s">
        <v>519</v>
      </c>
      <c r="B105" s="30" t="s">
        <v>520</v>
      </c>
      <c r="C105" s="32">
        <v>9023.33</v>
      </c>
      <c r="D105" s="32">
        <v>0</v>
      </c>
    </row>
    <row r="106" spans="1:4" x14ac:dyDescent="0.2">
      <c r="A106" s="30" t="s">
        <v>521</v>
      </c>
      <c r="B106" s="30" t="s">
        <v>504</v>
      </c>
      <c r="C106" s="32">
        <v>682.16</v>
      </c>
      <c r="D106" s="32">
        <v>0</v>
      </c>
    </row>
    <row r="107" spans="1:4" x14ac:dyDescent="0.2">
      <c r="A107" s="30" t="s">
        <v>522</v>
      </c>
      <c r="B107" s="30" t="s">
        <v>506</v>
      </c>
      <c r="C107" s="32">
        <v>862.68</v>
      </c>
      <c r="D107" s="32">
        <v>0</v>
      </c>
    </row>
    <row r="108" spans="1:4" x14ac:dyDescent="0.2">
      <c r="A108" s="30" t="s">
        <v>523</v>
      </c>
      <c r="B108" s="30" t="s">
        <v>150</v>
      </c>
      <c r="C108" s="32">
        <v>164.79</v>
      </c>
      <c r="D108" s="32">
        <v>0</v>
      </c>
    </row>
    <row r="109" spans="1:4" x14ac:dyDescent="0.2">
      <c r="A109" s="30" t="s">
        <v>524</v>
      </c>
      <c r="B109" s="30" t="s">
        <v>152</v>
      </c>
      <c r="C109" s="32">
        <v>408.35</v>
      </c>
      <c r="D109" s="32">
        <v>0</v>
      </c>
    </row>
    <row r="110" spans="1:4" x14ac:dyDescent="0.2">
      <c r="A110" s="30" t="s">
        <v>192</v>
      </c>
      <c r="B110" s="30" t="s">
        <v>118</v>
      </c>
      <c r="C110" s="32">
        <v>55.71</v>
      </c>
      <c r="D110" s="32">
        <v>0</v>
      </c>
    </row>
    <row r="111" spans="1:4" x14ac:dyDescent="0.2">
      <c r="A111" s="30" t="s">
        <v>193</v>
      </c>
      <c r="B111" s="30" t="s">
        <v>120</v>
      </c>
      <c r="C111" s="32">
        <v>116.61</v>
      </c>
      <c r="D111" s="32">
        <v>0</v>
      </c>
    </row>
    <row r="112" spans="1:4" x14ac:dyDescent="0.2">
      <c r="A112" s="30" t="s">
        <v>194</v>
      </c>
      <c r="B112" s="30" t="s">
        <v>122</v>
      </c>
      <c r="C112" s="32">
        <v>72.569999999999993</v>
      </c>
      <c r="D112" s="32">
        <v>0</v>
      </c>
    </row>
    <row r="113" spans="1:4" x14ac:dyDescent="0.2">
      <c r="A113" s="30" t="s">
        <v>525</v>
      </c>
      <c r="B113" s="30" t="s">
        <v>124</v>
      </c>
      <c r="C113" s="32">
        <v>81.45</v>
      </c>
      <c r="D113" s="32">
        <v>0</v>
      </c>
    </row>
    <row r="114" spans="1:4" x14ac:dyDescent="0.2">
      <c r="A114" s="30" t="s">
        <v>526</v>
      </c>
      <c r="B114" s="30" t="s">
        <v>162</v>
      </c>
      <c r="C114" s="32">
        <v>2230</v>
      </c>
      <c r="D114" s="32">
        <v>0</v>
      </c>
    </row>
    <row r="115" spans="1:4" x14ac:dyDescent="0.2">
      <c r="A115" s="30" t="s">
        <v>527</v>
      </c>
      <c r="B115" s="30" t="s">
        <v>166</v>
      </c>
      <c r="C115" s="32">
        <v>99.78</v>
      </c>
      <c r="D115" s="32">
        <v>0</v>
      </c>
    </row>
    <row r="116" spans="1:4" x14ac:dyDescent="0.2">
      <c r="A116" s="30" t="s">
        <v>195</v>
      </c>
      <c r="B116" s="30" t="s">
        <v>126</v>
      </c>
      <c r="C116" s="32">
        <v>373.03</v>
      </c>
      <c r="D116" s="32">
        <v>0</v>
      </c>
    </row>
    <row r="117" spans="1:4" x14ac:dyDescent="0.2">
      <c r="A117" s="30" t="s">
        <v>196</v>
      </c>
      <c r="B117" s="30" t="s">
        <v>197</v>
      </c>
      <c r="C117" s="32">
        <v>2311.23</v>
      </c>
      <c r="D117" s="32">
        <v>3025</v>
      </c>
    </row>
    <row r="118" spans="1:4" x14ac:dyDescent="0.2">
      <c r="A118" s="30" t="s">
        <v>528</v>
      </c>
      <c r="B118" s="30" t="s">
        <v>177</v>
      </c>
      <c r="C118" s="32">
        <v>290.79000000000002</v>
      </c>
      <c r="D118" s="32">
        <v>0</v>
      </c>
    </row>
    <row r="119" spans="1:4" x14ac:dyDescent="0.2">
      <c r="A119" s="30" t="s">
        <v>529</v>
      </c>
      <c r="B119" s="30" t="s">
        <v>138</v>
      </c>
      <c r="C119" s="32">
        <v>17.399999999999999</v>
      </c>
      <c r="D119" s="32">
        <v>0</v>
      </c>
    </row>
    <row r="120" spans="1:4" x14ac:dyDescent="0.2">
      <c r="A120" s="30" t="s">
        <v>204</v>
      </c>
      <c r="B120" s="30" t="s">
        <v>530</v>
      </c>
      <c r="C120" s="32">
        <v>5801.58</v>
      </c>
      <c r="D120" s="32">
        <v>5825</v>
      </c>
    </row>
    <row r="121" spans="1:4" x14ac:dyDescent="0.2">
      <c r="A121" s="30" t="s">
        <v>206</v>
      </c>
      <c r="B121" s="30" t="s">
        <v>134</v>
      </c>
      <c r="C121" s="32">
        <v>301</v>
      </c>
      <c r="D121" s="32">
        <v>2000</v>
      </c>
    </row>
    <row r="122" spans="1:4" x14ac:dyDescent="0.2">
      <c r="A122" s="30"/>
      <c r="B122" s="30" t="s">
        <v>711</v>
      </c>
      <c r="C122" s="32">
        <f>SUM(C105:C121)</f>
        <v>22892.460000000006</v>
      </c>
      <c r="D122" s="32">
        <f t="shared" ref="D122" si="1">SUM(D105:D121)</f>
        <v>10850</v>
      </c>
    </row>
    <row r="123" spans="1:4" x14ac:dyDescent="0.2">
      <c r="A123" s="30"/>
      <c r="B123" s="30"/>
      <c r="C123" s="32"/>
      <c r="D123" s="32"/>
    </row>
    <row r="124" spans="1:4" x14ac:dyDescent="0.2">
      <c r="A124" s="30" t="s">
        <v>531</v>
      </c>
      <c r="B124" s="30" t="s">
        <v>532</v>
      </c>
      <c r="C124" s="32">
        <v>65922.02</v>
      </c>
      <c r="D124" s="32">
        <v>0</v>
      </c>
    </row>
    <row r="125" spans="1:4" x14ac:dyDescent="0.2">
      <c r="A125" s="30" t="s">
        <v>533</v>
      </c>
      <c r="B125" s="30" t="s">
        <v>504</v>
      </c>
      <c r="C125" s="32">
        <v>4452.8599999999997</v>
      </c>
      <c r="D125" s="32">
        <v>0</v>
      </c>
    </row>
    <row r="126" spans="1:4" x14ac:dyDescent="0.2">
      <c r="A126" s="30" t="s">
        <v>534</v>
      </c>
      <c r="B126" s="30" t="s">
        <v>506</v>
      </c>
      <c r="C126" s="32">
        <v>5631.17</v>
      </c>
      <c r="D126" s="32">
        <v>0</v>
      </c>
    </row>
    <row r="127" spans="1:4" x14ac:dyDescent="0.2">
      <c r="A127" s="30" t="s">
        <v>535</v>
      </c>
      <c r="B127" s="30" t="s">
        <v>150</v>
      </c>
      <c r="C127" s="32">
        <v>1075.67</v>
      </c>
      <c r="D127" s="32">
        <v>0</v>
      </c>
    </row>
    <row r="128" spans="1:4" x14ac:dyDescent="0.2">
      <c r="A128" s="30" t="s">
        <v>536</v>
      </c>
      <c r="B128" s="30" t="s">
        <v>152</v>
      </c>
      <c r="C128" s="32">
        <v>2665.53</v>
      </c>
      <c r="D128" s="32">
        <v>0</v>
      </c>
    </row>
    <row r="129" spans="1:4" x14ac:dyDescent="0.2">
      <c r="A129" s="30" t="s">
        <v>208</v>
      </c>
      <c r="B129" s="30" t="s">
        <v>118</v>
      </c>
      <c r="C129" s="32">
        <v>1201.9100000000001</v>
      </c>
      <c r="D129" s="32">
        <v>0</v>
      </c>
    </row>
    <row r="130" spans="1:4" x14ac:dyDescent="0.2">
      <c r="A130" s="30" t="s">
        <v>209</v>
      </c>
      <c r="B130" s="30" t="s">
        <v>120</v>
      </c>
      <c r="C130" s="32">
        <v>4694.55</v>
      </c>
      <c r="D130" s="32">
        <v>700</v>
      </c>
    </row>
    <row r="131" spans="1:4" x14ac:dyDescent="0.2">
      <c r="A131" s="30" t="s">
        <v>210</v>
      </c>
      <c r="B131" s="30" t="s">
        <v>122</v>
      </c>
      <c r="C131" s="32">
        <v>848.22</v>
      </c>
      <c r="D131" s="32">
        <v>700</v>
      </c>
    </row>
    <row r="132" spans="1:4" x14ac:dyDescent="0.2">
      <c r="A132" s="30" t="s">
        <v>537</v>
      </c>
      <c r="B132" s="30" t="s">
        <v>162</v>
      </c>
      <c r="C132" s="32">
        <v>3992.24</v>
      </c>
      <c r="D132" s="32">
        <v>0</v>
      </c>
    </row>
    <row r="133" spans="1:4" x14ac:dyDescent="0.2">
      <c r="A133" s="30" t="s">
        <v>538</v>
      </c>
      <c r="B133" s="30" t="s">
        <v>166</v>
      </c>
      <c r="C133" s="32">
        <v>651.35</v>
      </c>
      <c r="D133" s="32">
        <v>0</v>
      </c>
    </row>
    <row r="134" spans="1:4" x14ac:dyDescent="0.2">
      <c r="A134" s="30" t="s">
        <v>214</v>
      </c>
      <c r="B134" s="30" t="s">
        <v>126</v>
      </c>
      <c r="C134" s="32">
        <v>6159.85</v>
      </c>
      <c r="D134" s="32">
        <v>6000</v>
      </c>
    </row>
    <row r="135" spans="1:4" x14ac:dyDescent="0.2">
      <c r="A135" s="30" t="s">
        <v>212</v>
      </c>
      <c r="B135" s="30" t="s">
        <v>539</v>
      </c>
      <c r="C135" s="32">
        <v>4518.46</v>
      </c>
      <c r="D135" s="32">
        <v>2600</v>
      </c>
    </row>
    <row r="136" spans="1:4" x14ac:dyDescent="0.2">
      <c r="A136" s="30" t="s">
        <v>215</v>
      </c>
      <c r="B136" s="30" t="s">
        <v>216</v>
      </c>
      <c r="C136" s="32">
        <v>1228.28</v>
      </c>
      <c r="D136" s="32">
        <v>3000</v>
      </c>
    </row>
    <row r="137" spans="1:4" x14ac:dyDescent="0.2">
      <c r="A137" s="30" t="s">
        <v>217</v>
      </c>
      <c r="B137" s="30" t="s">
        <v>218</v>
      </c>
      <c r="C137" s="32">
        <v>916.63</v>
      </c>
      <c r="D137" s="32">
        <v>1500</v>
      </c>
    </row>
    <row r="138" spans="1:4" x14ac:dyDescent="0.2">
      <c r="A138" s="30" t="s">
        <v>219</v>
      </c>
      <c r="B138" s="30" t="s">
        <v>220</v>
      </c>
      <c r="C138" s="32">
        <v>7500</v>
      </c>
      <c r="D138" s="32">
        <v>7500</v>
      </c>
    </row>
    <row r="139" spans="1:4" x14ac:dyDescent="0.2">
      <c r="A139" s="30" t="s">
        <v>221</v>
      </c>
      <c r="B139" s="30" t="s">
        <v>222</v>
      </c>
      <c r="C139" s="32">
        <v>767</v>
      </c>
      <c r="D139" s="32">
        <v>2200</v>
      </c>
    </row>
    <row r="140" spans="1:4" x14ac:dyDescent="0.2">
      <c r="A140" s="30" t="s">
        <v>540</v>
      </c>
      <c r="B140" s="30" t="s">
        <v>177</v>
      </c>
      <c r="C140" s="32">
        <v>1898.17</v>
      </c>
      <c r="D140" s="32">
        <v>0</v>
      </c>
    </row>
    <row r="141" spans="1:4" x14ac:dyDescent="0.2">
      <c r="A141" s="30" t="s">
        <v>234</v>
      </c>
      <c r="B141" s="30" t="s">
        <v>413</v>
      </c>
      <c r="C141" s="32">
        <v>295.35000000000002</v>
      </c>
      <c r="D141" s="32">
        <v>500</v>
      </c>
    </row>
    <row r="142" spans="1:4" x14ac:dyDescent="0.2">
      <c r="A142" s="30" t="s">
        <v>223</v>
      </c>
      <c r="B142" s="30" t="s">
        <v>224</v>
      </c>
      <c r="C142" s="32">
        <v>10143</v>
      </c>
      <c r="D142" s="32">
        <v>8000</v>
      </c>
    </row>
    <row r="143" spans="1:4" x14ac:dyDescent="0.2">
      <c r="A143" s="30" t="s">
        <v>541</v>
      </c>
      <c r="B143" s="30" t="s">
        <v>138</v>
      </c>
      <c r="C143" s="32">
        <v>113.59</v>
      </c>
      <c r="D143" s="32">
        <v>0</v>
      </c>
    </row>
    <row r="144" spans="1:4" x14ac:dyDescent="0.2">
      <c r="A144" s="30" t="s">
        <v>225</v>
      </c>
      <c r="B144" s="30" t="s">
        <v>226</v>
      </c>
      <c r="C144" s="32">
        <v>21850</v>
      </c>
      <c r="D144" s="32">
        <v>21850</v>
      </c>
    </row>
    <row r="145" spans="1:4" x14ac:dyDescent="0.2">
      <c r="A145" s="30" t="s">
        <v>227</v>
      </c>
      <c r="B145" s="30" t="s">
        <v>203</v>
      </c>
      <c r="C145" s="32">
        <v>646.25</v>
      </c>
      <c r="D145" s="32">
        <v>1200</v>
      </c>
    </row>
    <row r="146" spans="1:4" x14ac:dyDescent="0.2">
      <c r="A146" s="30" t="s">
        <v>228</v>
      </c>
      <c r="B146" s="30" t="s">
        <v>542</v>
      </c>
      <c r="C146" s="32">
        <v>13783.69</v>
      </c>
      <c r="D146" s="32">
        <v>13677</v>
      </c>
    </row>
    <row r="147" spans="1:4" x14ac:dyDescent="0.2">
      <c r="A147" s="30" t="s">
        <v>243</v>
      </c>
      <c r="B147" s="30" t="s">
        <v>543</v>
      </c>
      <c r="C147" s="32">
        <v>17631.25</v>
      </c>
      <c r="D147" s="32">
        <v>20000</v>
      </c>
    </row>
    <row r="148" spans="1:4" x14ac:dyDescent="0.2">
      <c r="A148" s="30" t="s">
        <v>544</v>
      </c>
      <c r="B148" s="30" t="s">
        <v>545</v>
      </c>
      <c r="C148" s="32">
        <v>0</v>
      </c>
      <c r="D148" s="32">
        <v>2500</v>
      </c>
    </row>
    <row r="149" spans="1:4" x14ac:dyDescent="0.2">
      <c r="A149" s="30" t="s">
        <v>230</v>
      </c>
      <c r="B149" s="30" t="s">
        <v>231</v>
      </c>
      <c r="C149" s="32">
        <v>6926.43</v>
      </c>
      <c r="D149" s="32">
        <v>4920</v>
      </c>
    </row>
    <row r="150" spans="1:4" x14ac:dyDescent="0.2">
      <c r="A150" s="30" t="s">
        <v>232</v>
      </c>
      <c r="B150" s="30" t="s">
        <v>713</v>
      </c>
      <c r="C150" s="32">
        <v>0</v>
      </c>
      <c r="D150" s="32">
        <v>500</v>
      </c>
    </row>
    <row r="151" spans="1:4" x14ac:dyDescent="0.2">
      <c r="A151" s="30" t="s">
        <v>546</v>
      </c>
      <c r="B151" s="30" t="s">
        <v>547</v>
      </c>
      <c r="C151" s="32">
        <v>31925</v>
      </c>
      <c r="D151" s="32">
        <v>28300</v>
      </c>
    </row>
    <row r="152" spans="1:4" x14ac:dyDescent="0.2">
      <c r="A152" s="30" t="s">
        <v>235</v>
      </c>
      <c r="B152" s="30" t="s">
        <v>237</v>
      </c>
      <c r="C152" s="32">
        <v>3086.56</v>
      </c>
      <c r="D152" s="32">
        <v>4000</v>
      </c>
    </row>
    <row r="153" spans="1:4" x14ac:dyDescent="0.2">
      <c r="A153" s="30" t="s">
        <v>238</v>
      </c>
      <c r="B153" s="30" t="s">
        <v>239</v>
      </c>
      <c r="C153" s="32">
        <v>5536.2</v>
      </c>
      <c r="D153" s="32">
        <v>5960</v>
      </c>
    </row>
    <row r="154" spans="1:4" x14ac:dyDescent="0.2">
      <c r="A154" s="30" t="s">
        <v>240</v>
      </c>
      <c r="B154" s="30" t="s">
        <v>241</v>
      </c>
      <c r="C154" s="32">
        <v>12620.73</v>
      </c>
      <c r="D154" s="32">
        <v>14996</v>
      </c>
    </row>
    <row r="155" spans="1:4" x14ac:dyDescent="0.2">
      <c r="A155" s="30" t="s">
        <v>247</v>
      </c>
      <c r="B155" s="30" t="s">
        <v>248</v>
      </c>
      <c r="C155" s="32">
        <v>7407.15</v>
      </c>
      <c r="D155" s="32">
        <v>8300</v>
      </c>
    </row>
    <row r="156" spans="1:4" x14ac:dyDescent="0.2">
      <c r="A156" s="30" t="s">
        <v>254</v>
      </c>
      <c r="B156" s="30" t="s">
        <v>548</v>
      </c>
      <c r="C156" s="32">
        <v>31990.53</v>
      </c>
      <c r="D156" s="32">
        <v>32650</v>
      </c>
    </row>
    <row r="157" spans="1:4" x14ac:dyDescent="0.2">
      <c r="A157" s="30" t="s">
        <v>249</v>
      </c>
      <c r="B157" s="30" t="s">
        <v>549</v>
      </c>
      <c r="C157" s="32">
        <v>1164.1400000000001</v>
      </c>
      <c r="D157" s="32">
        <v>1200</v>
      </c>
    </row>
    <row r="158" spans="1:4" x14ac:dyDescent="0.2">
      <c r="A158" s="30" t="s">
        <v>550</v>
      </c>
      <c r="B158" s="30" t="s">
        <v>551</v>
      </c>
      <c r="C158" s="32">
        <v>2248.35</v>
      </c>
      <c r="D158" s="32">
        <v>1500</v>
      </c>
    </row>
    <row r="159" spans="1:4" x14ac:dyDescent="0.2">
      <c r="A159" s="30" t="s">
        <v>252</v>
      </c>
      <c r="B159" s="30" t="s">
        <v>552</v>
      </c>
      <c r="C159" s="32">
        <v>908.25</v>
      </c>
      <c r="D159" s="32">
        <v>2750</v>
      </c>
    </row>
    <row r="160" spans="1:4" x14ac:dyDescent="0.2">
      <c r="A160" s="30" t="s">
        <v>250</v>
      </c>
      <c r="B160" s="30" t="s">
        <v>251</v>
      </c>
      <c r="C160" s="32">
        <v>2262.1999999999998</v>
      </c>
      <c r="D160" s="32">
        <v>2700</v>
      </c>
    </row>
    <row r="161" spans="1:4" x14ac:dyDescent="0.2">
      <c r="A161" s="30" t="s">
        <v>256</v>
      </c>
      <c r="B161" s="30" t="s">
        <v>134</v>
      </c>
      <c r="C161" s="32">
        <v>12130</v>
      </c>
      <c r="D161" s="32">
        <v>0</v>
      </c>
    </row>
    <row r="162" spans="1:4" x14ac:dyDescent="0.2">
      <c r="A162" s="30" t="s">
        <v>258</v>
      </c>
      <c r="B162" s="30" t="s">
        <v>553</v>
      </c>
      <c r="C162" s="32">
        <v>0</v>
      </c>
      <c r="D162" s="32">
        <v>2000</v>
      </c>
    </row>
    <row r="163" spans="1:4" x14ac:dyDescent="0.2">
      <c r="A163" s="30"/>
      <c r="B163" s="30" t="s">
        <v>711</v>
      </c>
      <c r="C163" s="32">
        <f>SUM(C124:C162)</f>
        <v>296792.58</v>
      </c>
      <c r="D163" s="32">
        <f>SUM(D124:D162)</f>
        <v>201703</v>
      </c>
    </row>
    <row r="164" spans="1:4" x14ac:dyDescent="0.2">
      <c r="A164" s="30"/>
      <c r="B164" s="30"/>
      <c r="C164" s="32"/>
      <c r="D164" s="32"/>
    </row>
    <row r="165" spans="1:4" x14ac:dyDescent="0.2">
      <c r="A165" s="30" t="s">
        <v>266</v>
      </c>
      <c r="B165" s="30" t="s">
        <v>120</v>
      </c>
      <c r="C165" s="32">
        <v>2147</v>
      </c>
      <c r="D165" s="32">
        <v>5000</v>
      </c>
    </row>
    <row r="166" spans="1:4" x14ac:dyDescent="0.2">
      <c r="A166" s="30" t="s">
        <v>554</v>
      </c>
      <c r="B166" s="30" t="s">
        <v>124</v>
      </c>
      <c r="C166" s="32">
        <v>84.95</v>
      </c>
      <c r="D166" s="32">
        <v>0</v>
      </c>
    </row>
    <row r="167" spans="1:4" x14ac:dyDescent="0.2">
      <c r="A167" s="30" t="s">
        <v>555</v>
      </c>
      <c r="B167" s="30" t="s">
        <v>402</v>
      </c>
      <c r="C167" s="32">
        <v>60</v>
      </c>
      <c r="D167" s="32">
        <v>0</v>
      </c>
    </row>
    <row r="168" spans="1:4" x14ac:dyDescent="0.2">
      <c r="A168" s="30" t="s">
        <v>269</v>
      </c>
      <c r="B168" s="30" t="s">
        <v>242</v>
      </c>
      <c r="C168" s="32">
        <v>307.86</v>
      </c>
      <c r="D168" s="32">
        <v>4000</v>
      </c>
    </row>
    <row r="169" spans="1:4" x14ac:dyDescent="0.2">
      <c r="A169" s="30" t="s">
        <v>270</v>
      </c>
      <c r="B169" s="30" t="s">
        <v>556</v>
      </c>
      <c r="C169" s="32">
        <v>240</v>
      </c>
      <c r="D169" s="32">
        <v>350</v>
      </c>
    </row>
    <row r="170" spans="1:4" x14ac:dyDescent="0.2">
      <c r="A170" s="30" t="s">
        <v>272</v>
      </c>
      <c r="B170" s="30" t="s">
        <v>134</v>
      </c>
      <c r="C170" s="32">
        <v>3191.3</v>
      </c>
      <c r="D170" s="32">
        <v>2000</v>
      </c>
    </row>
    <row r="171" spans="1:4" x14ac:dyDescent="0.2">
      <c r="A171" s="30"/>
      <c r="B171" s="30" t="s">
        <v>711</v>
      </c>
      <c r="C171" s="32">
        <f>SUM(C165:C170)</f>
        <v>6031.1100000000006</v>
      </c>
      <c r="D171" s="32">
        <f t="shared" ref="D171" si="2">SUM(D165:D170)</f>
        <v>11350</v>
      </c>
    </row>
    <row r="172" spans="1:4" x14ac:dyDescent="0.2">
      <c r="A172" s="30"/>
      <c r="B172" s="30"/>
      <c r="C172" s="32"/>
      <c r="D172" s="32"/>
    </row>
    <row r="173" spans="1:4" x14ac:dyDescent="0.2">
      <c r="A173" s="30" t="s">
        <v>274</v>
      </c>
      <c r="B173" s="30" t="s">
        <v>126</v>
      </c>
      <c r="C173" s="32">
        <v>1643.88</v>
      </c>
      <c r="D173" s="32">
        <v>2400</v>
      </c>
    </row>
    <row r="174" spans="1:4" x14ac:dyDescent="0.2">
      <c r="A174" s="30" t="s">
        <v>275</v>
      </c>
      <c r="B174" s="30" t="s">
        <v>304</v>
      </c>
      <c r="C174" s="32">
        <v>3885.9</v>
      </c>
      <c r="D174" s="32">
        <v>3000</v>
      </c>
    </row>
    <row r="175" spans="1:4" x14ac:dyDescent="0.2">
      <c r="A175" s="30"/>
      <c r="B175" s="30" t="s">
        <v>711</v>
      </c>
      <c r="C175" s="32">
        <f>SUM(C173:C174)</f>
        <v>5529.7800000000007</v>
      </c>
      <c r="D175" s="32">
        <f t="shared" ref="D175" si="3">SUM(D173:D174)</f>
        <v>5400</v>
      </c>
    </row>
    <row r="176" spans="1:4" x14ac:dyDescent="0.2">
      <c r="A176" s="30"/>
      <c r="B176" s="30"/>
      <c r="C176" s="32"/>
      <c r="D176" s="32"/>
    </row>
    <row r="177" spans="1:4" x14ac:dyDescent="0.2">
      <c r="A177" s="30" t="s">
        <v>557</v>
      </c>
      <c r="B177" s="30" t="s">
        <v>558</v>
      </c>
      <c r="C177" s="32">
        <v>33185.58</v>
      </c>
      <c r="D177" s="32">
        <v>0</v>
      </c>
    </row>
    <row r="178" spans="1:4" x14ac:dyDescent="0.2">
      <c r="A178" s="30" t="s">
        <v>559</v>
      </c>
      <c r="B178" s="30" t="s">
        <v>504</v>
      </c>
      <c r="C178" s="32">
        <v>2508.83</v>
      </c>
      <c r="D178" s="32">
        <v>0</v>
      </c>
    </row>
    <row r="179" spans="1:4" x14ac:dyDescent="0.2">
      <c r="A179" s="30" t="s">
        <v>560</v>
      </c>
      <c r="B179" s="30" t="s">
        <v>506</v>
      </c>
      <c r="C179" s="32">
        <v>3172.71</v>
      </c>
      <c r="D179" s="32">
        <v>0</v>
      </c>
    </row>
    <row r="180" spans="1:4" x14ac:dyDescent="0.2">
      <c r="A180" s="30" t="s">
        <v>561</v>
      </c>
      <c r="B180" s="30" t="s">
        <v>150</v>
      </c>
      <c r="C180" s="32">
        <v>606.04999999999995</v>
      </c>
      <c r="D180" s="32">
        <v>0</v>
      </c>
    </row>
    <row r="181" spans="1:4" x14ac:dyDescent="0.2">
      <c r="A181" s="30" t="s">
        <v>562</v>
      </c>
      <c r="B181" s="30" t="s">
        <v>152</v>
      </c>
      <c r="C181" s="32">
        <v>1501.81</v>
      </c>
      <c r="D181" s="32">
        <v>0</v>
      </c>
    </row>
    <row r="182" spans="1:4" x14ac:dyDescent="0.2">
      <c r="A182" s="30" t="s">
        <v>278</v>
      </c>
      <c r="B182" s="30" t="s">
        <v>118</v>
      </c>
      <c r="C182" s="32">
        <v>318.24</v>
      </c>
      <c r="D182" s="32">
        <v>0</v>
      </c>
    </row>
    <row r="183" spans="1:4" x14ac:dyDescent="0.2">
      <c r="A183" s="30" t="s">
        <v>279</v>
      </c>
      <c r="B183" s="30" t="s">
        <v>120</v>
      </c>
      <c r="C183" s="32">
        <v>441.51</v>
      </c>
      <c r="D183" s="32">
        <v>0</v>
      </c>
    </row>
    <row r="184" spans="1:4" x14ac:dyDescent="0.2">
      <c r="A184" s="30" t="s">
        <v>280</v>
      </c>
      <c r="B184" s="30" t="s">
        <v>122</v>
      </c>
      <c r="C184" s="32">
        <v>266.89</v>
      </c>
      <c r="D184" s="32">
        <v>60</v>
      </c>
    </row>
    <row r="185" spans="1:4" x14ac:dyDescent="0.2">
      <c r="A185" s="30" t="s">
        <v>281</v>
      </c>
      <c r="B185" s="30" t="s">
        <v>124</v>
      </c>
      <c r="C185" s="32">
        <v>661.12</v>
      </c>
      <c r="D185" s="32">
        <v>0</v>
      </c>
    </row>
    <row r="186" spans="1:4" x14ac:dyDescent="0.2">
      <c r="A186" s="30" t="s">
        <v>563</v>
      </c>
      <c r="B186" s="30" t="s">
        <v>162</v>
      </c>
      <c r="C186" s="32">
        <v>2671.56</v>
      </c>
      <c r="D186" s="32">
        <v>0</v>
      </c>
    </row>
    <row r="187" spans="1:4" x14ac:dyDescent="0.2">
      <c r="A187" s="30" t="s">
        <v>564</v>
      </c>
      <c r="B187" s="30" t="s">
        <v>166</v>
      </c>
      <c r="C187" s="32">
        <v>366.98</v>
      </c>
      <c r="D187" s="32">
        <v>0</v>
      </c>
    </row>
    <row r="188" spans="1:4" x14ac:dyDescent="0.2">
      <c r="A188" s="30" t="s">
        <v>282</v>
      </c>
      <c r="B188" s="30" t="s">
        <v>126</v>
      </c>
      <c r="C188" s="32">
        <v>1733.33</v>
      </c>
      <c r="D188" s="32">
        <v>2000</v>
      </c>
    </row>
    <row r="189" spans="1:4" x14ac:dyDescent="0.2">
      <c r="A189" s="30" t="s">
        <v>283</v>
      </c>
      <c r="B189" s="30" t="s">
        <v>284</v>
      </c>
      <c r="C189" s="32">
        <v>880.3</v>
      </c>
      <c r="D189" s="32">
        <v>0</v>
      </c>
    </row>
    <row r="190" spans="1:4" x14ac:dyDescent="0.2">
      <c r="A190" s="30" t="s">
        <v>565</v>
      </c>
      <c r="B190" s="30" t="s">
        <v>177</v>
      </c>
      <c r="C190" s="32">
        <v>1069.47</v>
      </c>
      <c r="D190" s="32">
        <v>0</v>
      </c>
    </row>
    <row r="191" spans="1:4" x14ac:dyDescent="0.2">
      <c r="A191" s="30" t="s">
        <v>285</v>
      </c>
      <c r="B191" s="30" t="s">
        <v>179</v>
      </c>
      <c r="C191" s="32">
        <v>1089</v>
      </c>
      <c r="D191" s="32">
        <v>72</v>
      </c>
    </row>
    <row r="192" spans="1:4" x14ac:dyDescent="0.2">
      <c r="A192" s="30" t="s">
        <v>566</v>
      </c>
      <c r="B192" s="30" t="s">
        <v>138</v>
      </c>
      <c r="C192" s="32">
        <v>64</v>
      </c>
      <c r="D192" s="32">
        <v>0</v>
      </c>
    </row>
    <row r="193" spans="1:4" x14ac:dyDescent="0.2">
      <c r="A193" s="30" t="s">
        <v>286</v>
      </c>
      <c r="B193" s="30" t="s">
        <v>287</v>
      </c>
      <c r="C193" s="32">
        <v>996.25</v>
      </c>
      <c r="D193" s="32">
        <v>850</v>
      </c>
    </row>
    <row r="194" spans="1:4" x14ac:dyDescent="0.2">
      <c r="A194" s="30" t="s">
        <v>288</v>
      </c>
      <c r="B194" s="30" t="s">
        <v>289</v>
      </c>
      <c r="C194" s="32">
        <v>42429.38</v>
      </c>
      <c r="D194" s="32">
        <v>42250</v>
      </c>
    </row>
    <row r="195" spans="1:4" x14ac:dyDescent="0.2">
      <c r="A195" s="30" t="s">
        <v>290</v>
      </c>
      <c r="B195" s="30" t="s">
        <v>134</v>
      </c>
      <c r="C195" s="32">
        <v>14.23</v>
      </c>
      <c r="D195" s="32">
        <v>60</v>
      </c>
    </row>
    <row r="196" spans="1:4" x14ac:dyDescent="0.2">
      <c r="A196" s="30"/>
      <c r="B196" s="30" t="s">
        <v>711</v>
      </c>
      <c r="C196" s="32">
        <f>SUM(C177:C195)</f>
        <v>93977.24</v>
      </c>
      <c r="D196" s="32">
        <f t="shared" ref="D196" si="4">SUM(D177:D195)</f>
        <v>45292</v>
      </c>
    </row>
    <row r="197" spans="1:4" x14ac:dyDescent="0.2">
      <c r="A197" s="30"/>
      <c r="B197" s="30"/>
      <c r="C197" s="32"/>
      <c r="D197" s="32"/>
    </row>
    <row r="198" spans="1:4" x14ac:dyDescent="0.2">
      <c r="A198" s="30" t="s">
        <v>567</v>
      </c>
      <c r="B198" s="30" t="s">
        <v>568</v>
      </c>
      <c r="C198" s="32">
        <v>1591.12</v>
      </c>
      <c r="D198" s="32">
        <v>0</v>
      </c>
    </row>
    <row r="199" spans="1:4" x14ac:dyDescent="0.2">
      <c r="A199" s="30" t="s">
        <v>569</v>
      </c>
      <c r="B199" s="30" t="s">
        <v>504</v>
      </c>
      <c r="C199" s="32">
        <v>120.29</v>
      </c>
      <c r="D199" s="32">
        <v>0</v>
      </c>
    </row>
    <row r="200" spans="1:4" x14ac:dyDescent="0.2">
      <c r="A200" s="30" t="s">
        <v>570</v>
      </c>
      <c r="B200" s="30" t="s">
        <v>506</v>
      </c>
      <c r="C200" s="32">
        <v>152.12</v>
      </c>
      <c r="D200" s="32">
        <v>0</v>
      </c>
    </row>
    <row r="201" spans="1:4" x14ac:dyDescent="0.2">
      <c r="A201" s="30" t="s">
        <v>571</v>
      </c>
      <c r="B201" s="30" t="s">
        <v>150</v>
      </c>
      <c r="C201" s="32">
        <v>29.06</v>
      </c>
      <c r="D201" s="32">
        <v>0</v>
      </c>
    </row>
    <row r="202" spans="1:4" x14ac:dyDescent="0.2">
      <c r="A202" s="30" t="s">
        <v>572</v>
      </c>
      <c r="B202" s="30" t="s">
        <v>152</v>
      </c>
      <c r="C202" s="32">
        <v>72.010000000000005</v>
      </c>
      <c r="D202" s="32">
        <v>0</v>
      </c>
    </row>
    <row r="203" spans="1:4" x14ac:dyDescent="0.2">
      <c r="A203" s="30" t="s">
        <v>292</v>
      </c>
      <c r="B203" s="30" t="s">
        <v>118</v>
      </c>
      <c r="C203" s="32">
        <v>9.82</v>
      </c>
      <c r="D203" s="32">
        <v>0</v>
      </c>
    </row>
    <row r="204" spans="1:4" x14ac:dyDescent="0.2">
      <c r="A204" s="30" t="s">
        <v>293</v>
      </c>
      <c r="B204" s="30" t="s">
        <v>120</v>
      </c>
      <c r="C204" s="32">
        <v>20.56</v>
      </c>
      <c r="D204" s="32">
        <v>0</v>
      </c>
    </row>
    <row r="205" spans="1:4" x14ac:dyDescent="0.2">
      <c r="A205" s="30" t="s">
        <v>294</v>
      </c>
      <c r="B205" s="30" t="s">
        <v>122</v>
      </c>
      <c r="C205" s="32">
        <v>12.8</v>
      </c>
      <c r="D205" s="32">
        <v>0</v>
      </c>
    </row>
    <row r="206" spans="1:4" x14ac:dyDescent="0.2">
      <c r="A206" s="30" t="s">
        <v>573</v>
      </c>
      <c r="B206" s="30" t="s">
        <v>166</v>
      </c>
      <c r="C206" s="32">
        <v>17.600000000000001</v>
      </c>
      <c r="D206" s="32">
        <v>0</v>
      </c>
    </row>
    <row r="207" spans="1:4" x14ac:dyDescent="0.2">
      <c r="A207" s="30" t="s">
        <v>574</v>
      </c>
      <c r="B207" s="30" t="s">
        <v>177</v>
      </c>
      <c r="C207" s="32">
        <v>51.28</v>
      </c>
      <c r="D207" s="32">
        <v>0</v>
      </c>
    </row>
    <row r="208" spans="1:4" x14ac:dyDescent="0.2">
      <c r="A208" s="30" t="s">
        <v>575</v>
      </c>
      <c r="B208" s="30" t="s">
        <v>138</v>
      </c>
      <c r="C208" s="32">
        <v>3.07</v>
      </c>
      <c r="D208" s="32">
        <v>0</v>
      </c>
    </row>
    <row r="209" spans="1:4" x14ac:dyDescent="0.2">
      <c r="A209" s="30"/>
      <c r="B209" s="30" t="s">
        <v>711</v>
      </c>
      <c r="C209" s="32">
        <f>SUM(C198:C208)</f>
        <v>2079.7299999999996</v>
      </c>
      <c r="D209" s="32">
        <f t="shared" ref="D209" si="5">SUM(D198:D208)</f>
        <v>0</v>
      </c>
    </row>
    <row r="210" spans="1:4" x14ac:dyDescent="0.2">
      <c r="A210" s="30"/>
      <c r="B210" s="30"/>
      <c r="C210" s="32"/>
      <c r="D210" s="32"/>
    </row>
    <row r="211" spans="1:4" x14ac:dyDescent="0.2">
      <c r="A211" s="30" t="s">
        <v>306</v>
      </c>
      <c r="B211" s="30" t="s">
        <v>126</v>
      </c>
      <c r="C211" s="32">
        <v>0</v>
      </c>
      <c r="D211" s="32">
        <v>1200</v>
      </c>
    </row>
    <row r="212" spans="1:4" x14ac:dyDescent="0.2">
      <c r="A212" s="30"/>
      <c r="B212" s="30"/>
      <c r="C212" s="32"/>
      <c r="D212" s="32"/>
    </row>
    <row r="213" spans="1:4" x14ac:dyDescent="0.2">
      <c r="A213" s="30"/>
      <c r="B213" s="30"/>
      <c r="C213" s="32"/>
      <c r="D213" s="32"/>
    </row>
    <row r="214" spans="1:4" x14ac:dyDescent="0.2">
      <c r="A214" s="30" t="s">
        <v>309</v>
      </c>
      <c r="B214" s="30" t="s">
        <v>126</v>
      </c>
      <c r="C214" s="32">
        <v>79.790000000000006</v>
      </c>
      <c r="D214" s="32">
        <v>0</v>
      </c>
    </row>
    <row r="215" spans="1:4" x14ac:dyDescent="0.2">
      <c r="A215" s="30"/>
      <c r="B215" s="30"/>
      <c r="C215" s="32"/>
      <c r="D215" s="32"/>
    </row>
    <row r="216" spans="1:4" x14ac:dyDescent="0.2">
      <c r="A216" s="30"/>
      <c r="B216" s="30"/>
      <c r="C216" s="32"/>
      <c r="D216" s="32"/>
    </row>
    <row r="217" spans="1:4" x14ac:dyDescent="0.2">
      <c r="A217" s="30" t="s">
        <v>576</v>
      </c>
      <c r="B217" s="30" t="s">
        <v>577</v>
      </c>
      <c r="C217" s="32">
        <v>35236.519999999997</v>
      </c>
      <c r="D217" s="32">
        <v>0</v>
      </c>
    </row>
    <row r="218" spans="1:4" x14ac:dyDescent="0.2">
      <c r="A218" s="30" t="s">
        <v>578</v>
      </c>
      <c r="B218" s="30" t="s">
        <v>504</v>
      </c>
      <c r="C218" s="32">
        <v>2663.88</v>
      </c>
      <c r="D218" s="32">
        <v>0</v>
      </c>
    </row>
    <row r="219" spans="1:4" x14ac:dyDescent="0.2">
      <c r="A219" s="30" t="s">
        <v>579</v>
      </c>
      <c r="B219" s="30" t="s">
        <v>506</v>
      </c>
      <c r="C219" s="32">
        <v>3368.79</v>
      </c>
      <c r="D219" s="32">
        <v>0</v>
      </c>
    </row>
    <row r="220" spans="1:4" x14ac:dyDescent="0.2">
      <c r="A220" s="30" t="s">
        <v>580</v>
      </c>
      <c r="B220" s="30" t="s">
        <v>150</v>
      </c>
      <c r="C220" s="32">
        <v>643.51</v>
      </c>
      <c r="D220" s="32">
        <v>0</v>
      </c>
    </row>
    <row r="221" spans="1:4" x14ac:dyDescent="0.2">
      <c r="A221" s="30" t="s">
        <v>581</v>
      </c>
      <c r="B221" s="30" t="s">
        <v>152</v>
      </c>
      <c r="C221" s="32">
        <v>1594.63</v>
      </c>
      <c r="D221" s="32">
        <v>0</v>
      </c>
    </row>
    <row r="222" spans="1:4" x14ac:dyDescent="0.2">
      <c r="A222" s="30" t="s">
        <v>311</v>
      </c>
      <c r="B222" s="30" t="s">
        <v>118</v>
      </c>
      <c r="C222" s="32">
        <v>287.33</v>
      </c>
      <c r="D222" s="32">
        <v>150</v>
      </c>
    </row>
    <row r="223" spans="1:4" x14ac:dyDescent="0.2">
      <c r="A223" s="30" t="s">
        <v>312</v>
      </c>
      <c r="B223" s="30" t="s">
        <v>120</v>
      </c>
      <c r="C223" s="32">
        <v>455.37</v>
      </c>
      <c r="D223" s="32">
        <v>1320</v>
      </c>
    </row>
    <row r="224" spans="1:4" x14ac:dyDescent="0.2">
      <c r="A224" s="30" t="s">
        <v>313</v>
      </c>
      <c r="B224" s="30" t="s">
        <v>122</v>
      </c>
      <c r="C224" s="32">
        <v>283.39</v>
      </c>
      <c r="D224" s="32">
        <v>60</v>
      </c>
    </row>
    <row r="225" spans="1:4" x14ac:dyDescent="0.2">
      <c r="A225" s="30" t="s">
        <v>314</v>
      </c>
      <c r="B225" s="30" t="s">
        <v>160</v>
      </c>
      <c r="C225" s="32">
        <f>775.37+32.58</f>
        <v>807.95</v>
      </c>
      <c r="D225" s="32">
        <v>534</v>
      </c>
    </row>
    <row r="226" spans="1:4" x14ac:dyDescent="0.2">
      <c r="A226" s="30" t="s">
        <v>582</v>
      </c>
      <c r="B226" s="30" t="s">
        <v>162</v>
      </c>
      <c r="C226" s="32">
        <v>3099</v>
      </c>
      <c r="D226" s="32">
        <v>0</v>
      </c>
    </row>
    <row r="227" spans="1:4" x14ac:dyDescent="0.2">
      <c r="A227" s="30" t="s">
        <v>583</v>
      </c>
      <c r="B227" s="30" t="s">
        <v>166</v>
      </c>
      <c r="C227" s="32">
        <v>389.66</v>
      </c>
      <c r="D227" s="32">
        <v>0</v>
      </c>
    </row>
    <row r="228" spans="1:4" x14ac:dyDescent="0.2">
      <c r="A228" s="30" t="s">
        <v>315</v>
      </c>
      <c r="B228" s="30" t="s">
        <v>126</v>
      </c>
      <c r="C228" s="32">
        <v>564.78</v>
      </c>
      <c r="D228" s="32">
        <v>2700</v>
      </c>
    </row>
    <row r="229" spans="1:4" x14ac:dyDescent="0.2">
      <c r="A229" s="30" t="s">
        <v>584</v>
      </c>
      <c r="B229" s="30" t="s">
        <v>585</v>
      </c>
      <c r="C229" s="32">
        <v>0</v>
      </c>
      <c r="D229" s="32">
        <v>1250</v>
      </c>
    </row>
    <row r="230" spans="1:4" x14ac:dyDescent="0.2">
      <c r="A230" s="30" t="s">
        <v>586</v>
      </c>
      <c r="B230" s="30" t="s">
        <v>177</v>
      </c>
      <c r="C230" s="32">
        <v>1135.56</v>
      </c>
      <c r="D230" s="32">
        <v>0</v>
      </c>
    </row>
    <row r="231" spans="1:4" x14ac:dyDescent="0.2">
      <c r="A231" s="30" t="s">
        <v>318</v>
      </c>
      <c r="B231" s="30" t="s">
        <v>413</v>
      </c>
      <c r="C231" s="32">
        <v>419.5</v>
      </c>
      <c r="D231" s="32">
        <v>588</v>
      </c>
    </row>
    <row r="232" spans="1:4" x14ac:dyDescent="0.2">
      <c r="A232" s="30" t="s">
        <v>320</v>
      </c>
      <c r="B232" s="30" t="s">
        <v>517</v>
      </c>
      <c r="C232" s="32">
        <v>0</v>
      </c>
      <c r="D232" s="32">
        <v>200</v>
      </c>
    </row>
    <row r="233" spans="1:4" x14ac:dyDescent="0.2">
      <c r="A233" s="30" t="s">
        <v>587</v>
      </c>
      <c r="B233" s="30" t="s">
        <v>224</v>
      </c>
      <c r="C233" s="32">
        <v>77</v>
      </c>
      <c r="D233" s="32">
        <v>50</v>
      </c>
    </row>
    <row r="234" spans="1:4" x14ac:dyDescent="0.2">
      <c r="A234" s="30" t="s">
        <v>588</v>
      </c>
      <c r="B234" s="30" t="s">
        <v>138</v>
      </c>
      <c r="C234" s="32">
        <v>67.95</v>
      </c>
      <c r="D234" s="32">
        <v>0</v>
      </c>
    </row>
    <row r="235" spans="1:4" x14ac:dyDescent="0.2">
      <c r="A235" s="30" t="s">
        <v>589</v>
      </c>
      <c r="B235" s="30" t="s">
        <v>590</v>
      </c>
      <c r="C235" s="32">
        <v>0</v>
      </c>
      <c r="D235" s="32">
        <v>640</v>
      </c>
    </row>
    <row r="236" spans="1:4" x14ac:dyDescent="0.2">
      <c r="A236" s="30" t="s">
        <v>322</v>
      </c>
      <c r="B236" s="30" t="s">
        <v>134</v>
      </c>
      <c r="C236" s="32">
        <v>871.01</v>
      </c>
      <c r="D236" s="32">
        <v>370</v>
      </c>
    </row>
    <row r="237" spans="1:4" x14ac:dyDescent="0.2">
      <c r="A237" s="30"/>
      <c r="B237" s="30" t="s">
        <v>711</v>
      </c>
      <c r="C237" s="32">
        <f>SUM(C217:C236)</f>
        <v>51965.829999999994</v>
      </c>
      <c r="D237" s="32">
        <f t="shared" ref="D237" si="6">SUM(D217:D236)</f>
        <v>7862</v>
      </c>
    </row>
    <row r="238" spans="1:4" x14ac:dyDescent="0.2">
      <c r="A238" s="30"/>
      <c r="B238" s="30"/>
      <c r="C238" s="32"/>
      <c r="D238" s="32"/>
    </row>
    <row r="239" spans="1:4" x14ac:dyDescent="0.2">
      <c r="A239" s="30" t="s">
        <v>591</v>
      </c>
      <c r="B239" s="30" t="s">
        <v>160</v>
      </c>
      <c r="C239" s="32">
        <v>32.58</v>
      </c>
      <c r="D239" s="32">
        <v>0</v>
      </c>
    </row>
    <row r="240" spans="1:4" x14ac:dyDescent="0.2">
      <c r="A240" s="30"/>
      <c r="B240" s="30"/>
      <c r="C240" s="32"/>
      <c r="D240" s="32"/>
    </row>
    <row r="241" spans="1:4" x14ac:dyDescent="0.2">
      <c r="A241" s="30"/>
      <c r="B241" s="30"/>
      <c r="C241" s="32"/>
      <c r="D241" s="32"/>
    </row>
    <row r="242" spans="1:4" x14ac:dyDescent="0.2">
      <c r="A242" s="30" t="s">
        <v>592</v>
      </c>
      <c r="B242" s="30" t="s">
        <v>593</v>
      </c>
      <c r="C242" s="32">
        <v>882.06</v>
      </c>
      <c r="D242" s="32">
        <v>0</v>
      </c>
    </row>
    <row r="243" spans="1:4" x14ac:dyDescent="0.2">
      <c r="A243" s="30" t="s">
        <v>594</v>
      </c>
      <c r="B243" s="30" t="s">
        <v>595</v>
      </c>
      <c r="C243" s="32">
        <v>66.680000000000007</v>
      </c>
      <c r="D243" s="32">
        <v>0</v>
      </c>
    </row>
    <row r="244" spans="1:4" x14ac:dyDescent="0.2">
      <c r="A244" s="30" t="s">
        <v>596</v>
      </c>
      <c r="B244" s="30" t="s">
        <v>597</v>
      </c>
      <c r="C244" s="32">
        <v>84.33</v>
      </c>
      <c r="D244" s="32">
        <v>0</v>
      </c>
    </row>
    <row r="245" spans="1:4" x14ac:dyDescent="0.2">
      <c r="A245" s="30" t="s">
        <v>598</v>
      </c>
      <c r="B245" s="30" t="s">
        <v>150</v>
      </c>
      <c r="C245" s="32">
        <v>16.11</v>
      </c>
      <c r="D245" s="32">
        <v>0</v>
      </c>
    </row>
    <row r="246" spans="1:4" x14ac:dyDescent="0.2">
      <c r="A246" s="30" t="s">
        <v>599</v>
      </c>
      <c r="B246" s="30" t="s">
        <v>152</v>
      </c>
      <c r="C246" s="32">
        <v>39.92</v>
      </c>
      <c r="D246" s="32">
        <v>0</v>
      </c>
    </row>
    <row r="247" spans="1:4" x14ac:dyDescent="0.2">
      <c r="A247" s="30" t="s">
        <v>600</v>
      </c>
      <c r="B247" s="30" t="s">
        <v>118</v>
      </c>
      <c r="C247" s="32">
        <v>5.45</v>
      </c>
      <c r="D247" s="32">
        <v>0</v>
      </c>
    </row>
    <row r="248" spans="1:4" x14ac:dyDescent="0.2">
      <c r="A248" s="30" t="s">
        <v>601</v>
      </c>
      <c r="B248" s="30" t="s">
        <v>120</v>
      </c>
      <c r="C248" s="32">
        <v>11.4</v>
      </c>
      <c r="D248" s="32">
        <v>0</v>
      </c>
    </row>
    <row r="249" spans="1:4" x14ac:dyDescent="0.2">
      <c r="A249" s="30" t="s">
        <v>602</v>
      </c>
      <c r="B249" s="30" t="s">
        <v>122</v>
      </c>
      <c r="C249" s="32">
        <v>7.09</v>
      </c>
      <c r="D249" s="32">
        <v>0</v>
      </c>
    </row>
    <row r="250" spans="1:4" x14ac:dyDescent="0.2">
      <c r="A250" s="30" t="s">
        <v>603</v>
      </c>
      <c r="B250" s="30" t="s">
        <v>160</v>
      </c>
      <c r="C250" s="32">
        <v>65.16</v>
      </c>
      <c r="D250" s="32">
        <v>0</v>
      </c>
    </row>
    <row r="251" spans="1:4" x14ac:dyDescent="0.2">
      <c r="A251" s="30" t="s">
        <v>604</v>
      </c>
      <c r="B251" s="30" t="s">
        <v>166</v>
      </c>
      <c r="C251" s="32">
        <v>9.75</v>
      </c>
      <c r="D251" s="32">
        <v>0</v>
      </c>
    </row>
    <row r="252" spans="1:4" x14ac:dyDescent="0.2">
      <c r="A252" s="30" t="s">
        <v>605</v>
      </c>
      <c r="B252" s="30" t="s">
        <v>177</v>
      </c>
      <c r="C252" s="32">
        <v>28.43</v>
      </c>
      <c r="D252" s="32">
        <v>0</v>
      </c>
    </row>
    <row r="253" spans="1:4" x14ac:dyDescent="0.2">
      <c r="A253" s="30" t="s">
        <v>606</v>
      </c>
      <c r="B253" s="30" t="s">
        <v>138</v>
      </c>
      <c r="C253" s="32">
        <v>1.7</v>
      </c>
      <c r="D253" s="32">
        <v>0</v>
      </c>
    </row>
    <row r="254" spans="1:4" x14ac:dyDescent="0.2">
      <c r="A254" s="30"/>
      <c r="B254" s="30" t="s">
        <v>711</v>
      </c>
      <c r="C254" s="32">
        <f>SUM(C242:C253)</f>
        <v>1218.0800000000002</v>
      </c>
      <c r="D254" s="32">
        <f t="shared" ref="D254" si="7">SUM(D242:D253)</f>
        <v>0</v>
      </c>
    </row>
    <row r="255" spans="1:4" x14ac:dyDescent="0.2">
      <c r="A255" s="30"/>
      <c r="B255" s="30"/>
      <c r="C255" s="32"/>
      <c r="D255" s="32"/>
    </row>
    <row r="256" spans="1:4" x14ac:dyDescent="0.2">
      <c r="A256" s="30" t="s">
        <v>607</v>
      </c>
      <c r="B256" s="30" t="s">
        <v>608</v>
      </c>
      <c r="C256" s="32">
        <v>2241.5500000000002</v>
      </c>
      <c r="D256" s="32">
        <v>0</v>
      </c>
    </row>
    <row r="257" spans="1:4" x14ac:dyDescent="0.2">
      <c r="A257" s="30" t="s">
        <v>609</v>
      </c>
      <c r="B257" s="30" t="s">
        <v>504</v>
      </c>
      <c r="C257" s="32">
        <v>169.46</v>
      </c>
      <c r="D257" s="32">
        <v>0</v>
      </c>
    </row>
    <row r="258" spans="1:4" x14ac:dyDescent="0.2">
      <c r="A258" s="30" t="s">
        <v>610</v>
      </c>
      <c r="B258" s="30" t="s">
        <v>597</v>
      </c>
      <c r="C258" s="32">
        <v>214.3</v>
      </c>
      <c r="D258" s="32">
        <v>0</v>
      </c>
    </row>
    <row r="259" spans="1:4" x14ac:dyDescent="0.2">
      <c r="A259" s="30" t="s">
        <v>611</v>
      </c>
      <c r="B259" s="30" t="s">
        <v>612</v>
      </c>
      <c r="C259" s="32">
        <v>40.94</v>
      </c>
      <c r="D259" s="32">
        <v>0</v>
      </c>
    </row>
    <row r="260" spans="1:4" x14ac:dyDescent="0.2">
      <c r="A260" s="30" t="s">
        <v>613</v>
      </c>
      <c r="B260" s="30" t="s">
        <v>152</v>
      </c>
      <c r="C260" s="32">
        <v>101.44</v>
      </c>
      <c r="D260" s="32">
        <v>0</v>
      </c>
    </row>
    <row r="261" spans="1:4" x14ac:dyDescent="0.2">
      <c r="A261" s="30" t="s">
        <v>614</v>
      </c>
      <c r="B261" s="30" t="s">
        <v>118</v>
      </c>
      <c r="C261" s="32">
        <v>13.84</v>
      </c>
      <c r="D261" s="32">
        <v>0</v>
      </c>
    </row>
    <row r="262" spans="1:4" x14ac:dyDescent="0.2">
      <c r="A262" s="30" t="s">
        <v>615</v>
      </c>
      <c r="B262" s="30" t="s">
        <v>120</v>
      </c>
      <c r="C262" s="32">
        <v>28.97</v>
      </c>
      <c r="D262" s="32">
        <v>0</v>
      </c>
    </row>
    <row r="263" spans="1:4" x14ac:dyDescent="0.2">
      <c r="A263" s="30" t="s">
        <v>616</v>
      </c>
      <c r="B263" s="30" t="s">
        <v>122</v>
      </c>
      <c r="C263" s="32">
        <v>18.03</v>
      </c>
      <c r="D263" s="32">
        <v>0</v>
      </c>
    </row>
    <row r="264" spans="1:4" x14ac:dyDescent="0.2">
      <c r="A264" s="30" t="s">
        <v>617</v>
      </c>
      <c r="B264" s="30" t="s">
        <v>160</v>
      </c>
      <c r="C264" s="32">
        <v>130.33000000000001</v>
      </c>
      <c r="D264" s="32">
        <v>0</v>
      </c>
    </row>
    <row r="265" spans="1:4" x14ac:dyDescent="0.2">
      <c r="A265" s="30" t="s">
        <v>618</v>
      </c>
      <c r="B265" s="30" t="s">
        <v>166</v>
      </c>
      <c r="C265" s="32">
        <v>24.79</v>
      </c>
      <c r="D265" s="32">
        <v>0</v>
      </c>
    </row>
    <row r="266" spans="1:4" x14ac:dyDescent="0.2">
      <c r="A266" s="30" t="s">
        <v>619</v>
      </c>
      <c r="B266" s="30" t="s">
        <v>177</v>
      </c>
      <c r="C266" s="32">
        <v>72.239999999999995</v>
      </c>
      <c r="D266" s="32">
        <v>0</v>
      </c>
    </row>
    <row r="267" spans="1:4" x14ac:dyDescent="0.2">
      <c r="A267" s="30" t="s">
        <v>620</v>
      </c>
      <c r="B267" s="30" t="s">
        <v>138</v>
      </c>
      <c r="C267" s="32">
        <v>4.32</v>
      </c>
      <c r="D267" s="32">
        <v>0</v>
      </c>
    </row>
    <row r="268" spans="1:4" x14ac:dyDescent="0.2">
      <c r="A268" s="30"/>
      <c r="B268" s="30" t="s">
        <v>711</v>
      </c>
      <c r="C268" s="32">
        <f>SUM(C256:C267)</f>
        <v>3060.2100000000005</v>
      </c>
      <c r="D268" s="32">
        <f t="shared" ref="D268" si="8">SUM(D256:D267)</f>
        <v>0</v>
      </c>
    </row>
    <row r="269" spans="1:4" x14ac:dyDescent="0.2">
      <c r="A269" s="30"/>
      <c r="B269" s="30"/>
      <c r="C269" s="32"/>
      <c r="D269" s="32"/>
    </row>
    <row r="270" spans="1:4" x14ac:dyDescent="0.2">
      <c r="A270" s="30" t="s">
        <v>335</v>
      </c>
      <c r="B270" s="30" t="s">
        <v>126</v>
      </c>
      <c r="C270" s="32">
        <v>1026.6199999999999</v>
      </c>
      <c r="D270" s="32">
        <v>1400</v>
      </c>
    </row>
    <row r="271" spans="1:4" x14ac:dyDescent="0.2">
      <c r="A271" s="30"/>
      <c r="B271" s="30"/>
      <c r="C271" s="32"/>
      <c r="D271" s="32"/>
    </row>
    <row r="272" spans="1:4" x14ac:dyDescent="0.2">
      <c r="A272" s="30"/>
      <c r="B272" s="30"/>
      <c r="C272" s="32"/>
      <c r="D272" s="32"/>
    </row>
    <row r="273" spans="1:4" x14ac:dyDescent="0.2">
      <c r="A273" s="30" t="s">
        <v>336</v>
      </c>
      <c r="B273" s="30" t="s">
        <v>621</v>
      </c>
      <c r="C273" s="32">
        <v>323.16000000000003</v>
      </c>
      <c r="D273" s="32">
        <v>0</v>
      </c>
    </row>
    <row r="274" spans="1:4" x14ac:dyDescent="0.2">
      <c r="A274" s="30" t="s">
        <v>337</v>
      </c>
      <c r="B274" s="30" t="s">
        <v>304</v>
      </c>
      <c r="C274" s="32">
        <v>915</v>
      </c>
      <c r="D274" s="32">
        <v>0</v>
      </c>
    </row>
    <row r="275" spans="1:4" x14ac:dyDescent="0.2">
      <c r="A275" s="30"/>
      <c r="B275" s="30" t="s">
        <v>711</v>
      </c>
      <c r="C275" s="32">
        <f>SUM(C273:C274)</f>
        <v>1238.1600000000001</v>
      </c>
      <c r="D275" s="32">
        <f t="shared" ref="D275" si="9">SUM(D273:D274)</f>
        <v>0</v>
      </c>
    </row>
    <row r="276" spans="1:4" x14ac:dyDescent="0.2">
      <c r="A276" s="30"/>
      <c r="B276" s="30"/>
      <c r="C276" s="32"/>
      <c r="D276" s="32"/>
    </row>
    <row r="277" spans="1:4" x14ac:dyDescent="0.2">
      <c r="A277" s="30" t="s">
        <v>622</v>
      </c>
      <c r="B277" s="30" t="s">
        <v>623</v>
      </c>
      <c r="C277" s="32">
        <v>32705.3</v>
      </c>
      <c r="D277" s="32">
        <v>0</v>
      </c>
    </row>
    <row r="278" spans="1:4" x14ac:dyDescent="0.2">
      <c r="A278" s="30" t="s">
        <v>624</v>
      </c>
      <c r="B278" s="30" t="s">
        <v>504</v>
      </c>
      <c r="C278" s="32">
        <v>2472.52</v>
      </c>
      <c r="D278" s="32">
        <v>0</v>
      </c>
    </row>
    <row r="279" spans="1:4" x14ac:dyDescent="0.2">
      <c r="A279" s="30" t="s">
        <v>625</v>
      </c>
      <c r="B279" s="30" t="s">
        <v>506</v>
      </c>
      <c r="C279" s="32">
        <v>3126.77</v>
      </c>
      <c r="D279" s="32">
        <v>0</v>
      </c>
    </row>
    <row r="280" spans="1:4" x14ac:dyDescent="0.2">
      <c r="A280" s="30" t="s">
        <v>626</v>
      </c>
      <c r="B280" s="30" t="s">
        <v>150</v>
      </c>
      <c r="C280" s="32">
        <v>597.28</v>
      </c>
      <c r="D280" s="32">
        <v>0</v>
      </c>
    </row>
    <row r="281" spans="1:4" x14ac:dyDescent="0.2">
      <c r="A281" s="30" t="s">
        <v>627</v>
      </c>
      <c r="B281" s="30" t="s">
        <v>152</v>
      </c>
      <c r="C281" s="32">
        <v>1480.07</v>
      </c>
      <c r="D281" s="32">
        <v>0</v>
      </c>
    </row>
    <row r="282" spans="1:4" x14ac:dyDescent="0.2">
      <c r="A282" s="30" t="s">
        <v>339</v>
      </c>
      <c r="B282" s="30" t="s">
        <v>118</v>
      </c>
      <c r="C282" s="32">
        <v>215.01</v>
      </c>
      <c r="D282" s="32">
        <v>0</v>
      </c>
    </row>
    <row r="283" spans="1:4" x14ac:dyDescent="0.2">
      <c r="A283" s="30" t="s">
        <v>340</v>
      </c>
      <c r="B283" s="30" t="s">
        <v>120</v>
      </c>
      <c r="C283" s="32">
        <v>569.71</v>
      </c>
      <c r="D283" s="32">
        <v>0</v>
      </c>
    </row>
    <row r="284" spans="1:4" x14ac:dyDescent="0.2">
      <c r="A284" s="30" t="s">
        <v>341</v>
      </c>
      <c r="B284" s="30" t="s">
        <v>122</v>
      </c>
      <c r="C284" s="32">
        <v>399.2</v>
      </c>
      <c r="D284" s="32">
        <v>0</v>
      </c>
    </row>
    <row r="285" spans="1:4" x14ac:dyDescent="0.2">
      <c r="A285" s="30" t="s">
        <v>628</v>
      </c>
      <c r="B285" s="30" t="s">
        <v>124</v>
      </c>
      <c r="C285" s="32">
        <v>162.91</v>
      </c>
      <c r="D285" s="32">
        <v>0</v>
      </c>
    </row>
    <row r="286" spans="1:4" x14ac:dyDescent="0.2">
      <c r="A286" s="30" t="s">
        <v>629</v>
      </c>
      <c r="B286" s="30" t="s">
        <v>162</v>
      </c>
      <c r="C286" s="32">
        <v>5904</v>
      </c>
      <c r="D286" s="32">
        <v>0</v>
      </c>
    </row>
    <row r="287" spans="1:4" x14ac:dyDescent="0.2">
      <c r="A287" s="30" t="s">
        <v>630</v>
      </c>
      <c r="B287" s="30" t="s">
        <v>166</v>
      </c>
      <c r="C287" s="32">
        <v>361.67</v>
      </c>
      <c r="D287" s="32">
        <v>0</v>
      </c>
    </row>
    <row r="288" spans="1:4" x14ac:dyDescent="0.2">
      <c r="A288" s="30" t="s">
        <v>342</v>
      </c>
      <c r="B288" s="30" t="s">
        <v>126</v>
      </c>
      <c r="C288" s="32">
        <f>15537.16-2789.16</f>
        <v>12748</v>
      </c>
      <c r="D288" s="32">
        <v>11000</v>
      </c>
    </row>
    <row r="289" spans="1:4" x14ac:dyDescent="0.2">
      <c r="A289" s="30" t="s">
        <v>343</v>
      </c>
      <c r="B289" s="30" t="s">
        <v>344</v>
      </c>
      <c r="C289" s="32">
        <f>14195.96-2789.15</f>
        <v>11406.81</v>
      </c>
      <c r="D289" s="32">
        <v>18000</v>
      </c>
    </row>
    <row r="290" spans="1:4" x14ac:dyDescent="0.2">
      <c r="A290" s="30" t="s">
        <v>345</v>
      </c>
      <c r="B290" s="30" t="s">
        <v>346</v>
      </c>
      <c r="C290" s="32">
        <v>8959.94</v>
      </c>
      <c r="D290" s="32">
        <v>9900</v>
      </c>
    </row>
    <row r="291" spans="1:4" x14ac:dyDescent="0.2">
      <c r="A291" s="30" t="s">
        <v>631</v>
      </c>
      <c r="B291" s="30" t="s">
        <v>177</v>
      </c>
      <c r="C291" s="32">
        <v>1053.98</v>
      </c>
      <c r="D291" s="32">
        <v>0</v>
      </c>
    </row>
    <row r="292" spans="1:4" x14ac:dyDescent="0.2">
      <c r="A292" s="30" t="s">
        <v>632</v>
      </c>
      <c r="B292" s="30" t="s">
        <v>138</v>
      </c>
      <c r="C292" s="32">
        <v>63.07</v>
      </c>
      <c r="D292" s="32">
        <v>0</v>
      </c>
    </row>
    <row r="293" spans="1:4" x14ac:dyDescent="0.2">
      <c r="A293" s="30" t="s">
        <v>347</v>
      </c>
      <c r="B293" s="30" t="s">
        <v>203</v>
      </c>
      <c r="C293" s="32">
        <v>193.43</v>
      </c>
      <c r="D293" s="32">
        <v>550</v>
      </c>
    </row>
    <row r="294" spans="1:4" x14ac:dyDescent="0.2">
      <c r="A294" s="30" t="s">
        <v>348</v>
      </c>
      <c r="B294" s="30" t="s">
        <v>349</v>
      </c>
      <c r="C294" s="32">
        <v>918.15</v>
      </c>
      <c r="D294" s="32">
        <v>3550</v>
      </c>
    </row>
    <row r="295" spans="1:4" x14ac:dyDescent="0.2">
      <c r="A295" s="30"/>
      <c r="B295" s="30" t="s">
        <v>711</v>
      </c>
      <c r="C295" s="32">
        <f>SUM(C277:C294)</f>
        <v>83337.819999999992</v>
      </c>
      <c r="D295" s="32">
        <f>SUM(D277:D294)</f>
        <v>43000</v>
      </c>
    </row>
    <row r="296" spans="1:4" x14ac:dyDescent="0.2">
      <c r="A296" s="30"/>
      <c r="B296" s="30"/>
      <c r="C296" s="32"/>
      <c r="D296" s="32"/>
    </row>
    <row r="297" spans="1:4" x14ac:dyDescent="0.2">
      <c r="A297" s="30" t="s">
        <v>87</v>
      </c>
      <c r="B297" s="30" t="s">
        <v>712</v>
      </c>
      <c r="C297" s="32">
        <v>0</v>
      </c>
      <c r="D297" s="32">
        <v>5000</v>
      </c>
    </row>
    <row r="298" spans="1:4" x14ac:dyDescent="0.2">
      <c r="A298" s="30" t="s">
        <v>622</v>
      </c>
      <c r="B298" s="30" t="s">
        <v>633</v>
      </c>
      <c r="C298" s="32">
        <v>3888.99</v>
      </c>
      <c r="D298" s="32">
        <v>0</v>
      </c>
    </row>
    <row r="299" spans="1:4" x14ac:dyDescent="0.2">
      <c r="A299" s="30" t="s">
        <v>634</v>
      </c>
      <c r="B299" s="30" t="s">
        <v>504</v>
      </c>
      <c r="C299" s="32">
        <v>294.01</v>
      </c>
      <c r="D299" s="32">
        <v>0</v>
      </c>
    </row>
    <row r="300" spans="1:4" x14ac:dyDescent="0.2">
      <c r="A300" s="30" t="s">
        <v>635</v>
      </c>
      <c r="B300" s="30" t="s">
        <v>506</v>
      </c>
      <c r="C300" s="32">
        <v>371.81</v>
      </c>
      <c r="D300" s="32">
        <v>0</v>
      </c>
    </row>
    <row r="301" spans="1:4" x14ac:dyDescent="0.2">
      <c r="A301" s="30" t="s">
        <v>636</v>
      </c>
      <c r="B301" s="30" t="s">
        <v>150</v>
      </c>
      <c r="C301" s="32">
        <v>71.02</v>
      </c>
      <c r="D301" s="32">
        <v>0</v>
      </c>
    </row>
    <row r="302" spans="1:4" x14ac:dyDescent="0.2">
      <c r="A302" s="30" t="s">
        <v>637</v>
      </c>
      <c r="B302" s="30" t="s">
        <v>152</v>
      </c>
      <c r="C302" s="32">
        <v>176</v>
      </c>
      <c r="D302" s="32">
        <v>0</v>
      </c>
    </row>
    <row r="303" spans="1:4" x14ac:dyDescent="0.2">
      <c r="A303" s="30" t="s">
        <v>638</v>
      </c>
      <c r="B303" s="30" t="s">
        <v>118</v>
      </c>
      <c r="C303" s="32">
        <v>24.01</v>
      </c>
      <c r="D303" s="32">
        <v>0</v>
      </c>
    </row>
    <row r="304" spans="1:4" x14ac:dyDescent="0.2">
      <c r="A304" s="30" t="s">
        <v>351</v>
      </c>
      <c r="B304" s="30" t="s">
        <v>120</v>
      </c>
      <c r="C304" s="32">
        <v>50.26</v>
      </c>
      <c r="D304" s="32">
        <v>0</v>
      </c>
    </row>
    <row r="305" spans="1:4" x14ac:dyDescent="0.2">
      <c r="A305" s="30" t="s">
        <v>352</v>
      </c>
      <c r="B305" s="30" t="s">
        <v>122</v>
      </c>
      <c r="C305" s="32">
        <v>31.28</v>
      </c>
      <c r="D305" s="32">
        <v>0</v>
      </c>
    </row>
    <row r="306" spans="1:4" x14ac:dyDescent="0.2">
      <c r="A306" s="30" t="s">
        <v>639</v>
      </c>
      <c r="B306" s="30" t="s">
        <v>166</v>
      </c>
      <c r="C306" s="32">
        <v>43.01</v>
      </c>
      <c r="D306" s="32">
        <v>0</v>
      </c>
    </row>
    <row r="307" spans="1:4" x14ac:dyDescent="0.2">
      <c r="A307" s="30" t="s">
        <v>354</v>
      </c>
      <c r="B307" s="30" t="s">
        <v>126</v>
      </c>
      <c r="C307" s="32">
        <v>1858.73</v>
      </c>
      <c r="D307" s="32">
        <v>1500</v>
      </c>
    </row>
    <row r="308" spans="1:4" x14ac:dyDescent="0.2">
      <c r="A308" s="30" t="s">
        <v>355</v>
      </c>
      <c r="B308" s="30" t="s">
        <v>356</v>
      </c>
      <c r="C308" s="32">
        <v>4931.17</v>
      </c>
      <c r="D308" s="32">
        <v>5000</v>
      </c>
    </row>
    <row r="309" spans="1:4" x14ac:dyDescent="0.2">
      <c r="A309" s="30" t="s">
        <v>357</v>
      </c>
      <c r="B309" s="30" t="s">
        <v>640</v>
      </c>
      <c r="C309" s="32">
        <v>4811.8599999999997</v>
      </c>
      <c r="D309" s="32">
        <v>9500</v>
      </c>
    </row>
    <row r="310" spans="1:4" x14ac:dyDescent="0.2">
      <c r="A310" s="30" t="s">
        <v>358</v>
      </c>
      <c r="B310" s="30" t="s">
        <v>359</v>
      </c>
      <c r="C310" s="32">
        <v>20000</v>
      </c>
      <c r="D310" s="32">
        <v>20000</v>
      </c>
    </row>
    <row r="311" spans="1:4" x14ac:dyDescent="0.2">
      <c r="A311" s="30" t="s">
        <v>641</v>
      </c>
      <c r="B311" s="30" t="s">
        <v>642</v>
      </c>
      <c r="C311" s="32">
        <v>0</v>
      </c>
      <c r="D311" s="32">
        <v>9800</v>
      </c>
    </row>
    <row r="312" spans="1:4" x14ac:dyDescent="0.2">
      <c r="A312" s="30" t="s">
        <v>360</v>
      </c>
      <c r="B312" s="30" t="s">
        <v>344</v>
      </c>
      <c r="C312" s="32">
        <v>6266.33</v>
      </c>
      <c r="D312" s="32">
        <v>0</v>
      </c>
    </row>
    <row r="313" spans="1:4" x14ac:dyDescent="0.2">
      <c r="A313" s="30" t="s">
        <v>361</v>
      </c>
      <c r="B313" s="30" t="s">
        <v>362</v>
      </c>
      <c r="C313" s="32">
        <v>41042.43</v>
      </c>
      <c r="D313" s="32">
        <v>30000</v>
      </c>
    </row>
    <row r="314" spans="1:4" x14ac:dyDescent="0.2">
      <c r="A314" s="30" t="s">
        <v>643</v>
      </c>
      <c r="B314" s="30" t="s">
        <v>177</v>
      </c>
      <c r="C314" s="32">
        <v>125.33</v>
      </c>
      <c r="D314" s="32">
        <v>0</v>
      </c>
    </row>
    <row r="315" spans="1:4" x14ac:dyDescent="0.2">
      <c r="A315" s="30" t="s">
        <v>644</v>
      </c>
      <c r="B315" s="30" t="s">
        <v>138</v>
      </c>
      <c r="C315" s="32">
        <v>7.5</v>
      </c>
      <c r="D315" s="32">
        <v>0</v>
      </c>
    </row>
    <row r="316" spans="1:4" x14ac:dyDescent="0.2">
      <c r="A316" s="30" t="s">
        <v>363</v>
      </c>
      <c r="B316" s="30" t="s">
        <v>645</v>
      </c>
      <c r="C316" s="32">
        <v>0</v>
      </c>
      <c r="D316" s="32">
        <v>3000</v>
      </c>
    </row>
    <row r="317" spans="1:4" x14ac:dyDescent="0.2">
      <c r="A317" s="30"/>
      <c r="B317" s="30" t="s">
        <v>711</v>
      </c>
      <c r="C317" s="32">
        <f>SUM(C297:C316)</f>
        <v>83993.74</v>
      </c>
      <c r="D317" s="32">
        <f>SUM(D297:D316)</f>
        <v>83800</v>
      </c>
    </row>
    <row r="318" spans="1:4" x14ac:dyDescent="0.2">
      <c r="A318" s="30"/>
      <c r="B318" s="30"/>
      <c r="C318" s="32"/>
      <c r="D318" s="32"/>
    </row>
    <row r="319" spans="1:4" x14ac:dyDescent="0.2">
      <c r="A319" s="30" t="s">
        <v>646</v>
      </c>
      <c r="B319" s="30" t="s">
        <v>647</v>
      </c>
      <c r="C319" s="32">
        <v>10241.52</v>
      </c>
      <c r="D319" s="32">
        <v>0</v>
      </c>
    </row>
    <row r="320" spans="1:4" x14ac:dyDescent="0.2">
      <c r="A320" s="30" t="s">
        <v>648</v>
      </c>
      <c r="B320" s="30" t="s">
        <v>504</v>
      </c>
      <c r="C320" s="32">
        <v>774.26</v>
      </c>
      <c r="D320" s="32">
        <v>0</v>
      </c>
    </row>
    <row r="321" spans="1:4" x14ac:dyDescent="0.2">
      <c r="A321" s="30" t="s">
        <v>649</v>
      </c>
      <c r="B321" s="30" t="s">
        <v>506</v>
      </c>
      <c r="C321" s="32">
        <v>979.14</v>
      </c>
      <c r="D321" s="32">
        <v>0</v>
      </c>
    </row>
    <row r="322" spans="1:4" x14ac:dyDescent="0.2">
      <c r="A322" s="30" t="s">
        <v>650</v>
      </c>
      <c r="B322" s="30" t="s">
        <v>150</v>
      </c>
      <c r="C322" s="32">
        <v>187.04</v>
      </c>
      <c r="D322" s="32">
        <v>0</v>
      </c>
    </row>
    <row r="323" spans="1:4" x14ac:dyDescent="0.2">
      <c r="A323" s="30" t="s">
        <v>651</v>
      </c>
      <c r="B323" s="30" t="s">
        <v>152</v>
      </c>
      <c r="C323" s="32">
        <v>463.48</v>
      </c>
      <c r="D323" s="32">
        <v>0</v>
      </c>
    </row>
    <row r="324" spans="1:4" x14ac:dyDescent="0.2">
      <c r="A324" s="30" t="s">
        <v>366</v>
      </c>
      <c r="B324" s="30" t="s">
        <v>118</v>
      </c>
      <c r="C324" s="32">
        <v>63.23</v>
      </c>
      <c r="D324" s="32">
        <v>210</v>
      </c>
    </row>
    <row r="325" spans="1:4" x14ac:dyDescent="0.2">
      <c r="A325" s="30" t="s">
        <v>367</v>
      </c>
      <c r="B325" s="30" t="s">
        <v>120</v>
      </c>
      <c r="C325" s="32">
        <v>132.35</v>
      </c>
      <c r="D325" s="32">
        <v>0</v>
      </c>
    </row>
    <row r="326" spans="1:4" x14ac:dyDescent="0.2">
      <c r="A326" s="30" t="s">
        <v>368</v>
      </c>
      <c r="B326" s="30" t="s">
        <v>122</v>
      </c>
      <c r="C326" s="32">
        <v>82.37</v>
      </c>
      <c r="D326" s="32">
        <v>0</v>
      </c>
    </row>
    <row r="327" spans="1:4" x14ac:dyDescent="0.2">
      <c r="A327" s="30" t="s">
        <v>652</v>
      </c>
      <c r="B327" s="30" t="s">
        <v>166</v>
      </c>
      <c r="C327" s="32">
        <v>113.26</v>
      </c>
      <c r="D327" s="32">
        <v>0</v>
      </c>
    </row>
    <row r="328" spans="1:4" x14ac:dyDescent="0.2">
      <c r="A328" s="30" t="s">
        <v>370</v>
      </c>
      <c r="B328" s="30" t="s">
        <v>346</v>
      </c>
      <c r="C328" s="32">
        <v>11240</v>
      </c>
      <c r="D328" s="32">
        <v>12650</v>
      </c>
    </row>
    <row r="329" spans="1:4" x14ac:dyDescent="0.2">
      <c r="A329" s="30" t="s">
        <v>371</v>
      </c>
      <c r="B329" s="30" t="s">
        <v>653</v>
      </c>
      <c r="C329" s="32">
        <v>0</v>
      </c>
      <c r="D329" s="32">
        <v>750</v>
      </c>
    </row>
    <row r="330" spans="1:4" x14ac:dyDescent="0.2">
      <c r="A330" s="30" t="s">
        <v>654</v>
      </c>
      <c r="B330" s="30" t="s">
        <v>177</v>
      </c>
      <c r="C330" s="32">
        <v>330.05</v>
      </c>
      <c r="D330" s="32">
        <v>0</v>
      </c>
    </row>
    <row r="331" spans="1:4" x14ac:dyDescent="0.2">
      <c r="A331" s="30" t="s">
        <v>373</v>
      </c>
      <c r="B331" s="30" t="s">
        <v>655</v>
      </c>
      <c r="C331" s="32">
        <v>2595</v>
      </c>
      <c r="D331" s="32">
        <v>1685</v>
      </c>
    </row>
    <row r="332" spans="1:4" x14ac:dyDescent="0.2">
      <c r="A332" s="30" t="s">
        <v>656</v>
      </c>
      <c r="B332" s="30" t="s">
        <v>138</v>
      </c>
      <c r="C332" s="32">
        <v>19.75</v>
      </c>
      <c r="D332" s="32">
        <v>0</v>
      </c>
    </row>
    <row r="333" spans="1:4" x14ac:dyDescent="0.2">
      <c r="A333" s="30"/>
      <c r="B333" s="30" t="s">
        <v>711</v>
      </c>
      <c r="C333" s="32">
        <f>SUM(C319:C332)</f>
        <v>27221.45</v>
      </c>
      <c r="D333" s="32">
        <f t="shared" ref="D333" si="10">SUM(D319:D332)</f>
        <v>15295</v>
      </c>
    </row>
    <row r="334" spans="1:4" x14ac:dyDescent="0.2">
      <c r="A334" s="30"/>
      <c r="B334" s="30"/>
      <c r="C334" s="32"/>
      <c r="D334" s="32"/>
    </row>
    <row r="335" spans="1:4" x14ac:dyDescent="0.2">
      <c r="A335" s="30" t="s">
        <v>657</v>
      </c>
      <c r="B335" s="30" t="s">
        <v>160</v>
      </c>
      <c r="C335" s="32">
        <v>39.42</v>
      </c>
      <c r="D335" s="32">
        <v>0</v>
      </c>
    </row>
    <row r="336" spans="1:4" x14ac:dyDescent="0.2">
      <c r="A336" s="30"/>
      <c r="B336" s="30"/>
      <c r="C336" s="32"/>
      <c r="D336" s="32"/>
    </row>
    <row r="337" spans="1:4" x14ac:dyDescent="0.2">
      <c r="A337" s="30"/>
      <c r="B337" s="30"/>
      <c r="C337" s="32"/>
      <c r="D337" s="32"/>
    </row>
    <row r="338" spans="1:4" x14ac:dyDescent="0.2">
      <c r="A338" s="30" t="s">
        <v>377</v>
      </c>
      <c r="B338" s="30" t="s">
        <v>120</v>
      </c>
      <c r="C338" s="32">
        <v>783</v>
      </c>
      <c r="D338" s="32">
        <v>4000</v>
      </c>
    </row>
    <row r="339" spans="1:4" x14ac:dyDescent="0.2">
      <c r="A339" s="30" t="s">
        <v>380</v>
      </c>
      <c r="B339" s="30" t="s">
        <v>381</v>
      </c>
      <c r="C339" s="32">
        <v>0</v>
      </c>
      <c r="D339" s="32">
        <v>3360</v>
      </c>
    </row>
    <row r="340" spans="1:4" x14ac:dyDescent="0.2">
      <c r="A340" s="30" t="s">
        <v>382</v>
      </c>
      <c r="B340" s="30" t="s">
        <v>134</v>
      </c>
      <c r="C340" s="32">
        <v>1849.88</v>
      </c>
      <c r="D340" s="32">
        <v>3000</v>
      </c>
    </row>
    <row r="341" spans="1:4" x14ac:dyDescent="0.2">
      <c r="A341" s="30"/>
      <c r="B341" s="30" t="s">
        <v>711</v>
      </c>
      <c r="C341" s="32">
        <f>SUM(C338:C340)</f>
        <v>2632.88</v>
      </c>
      <c r="D341" s="32">
        <f t="shared" ref="D341" si="11">SUM(D338:D340)</f>
        <v>10360</v>
      </c>
    </row>
    <row r="342" spans="1:4" x14ac:dyDescent="0.2">
      <c r="A342" s="30"/>
      <c r="B342" s="30"/>
      <c r="C342" s="32"/>
      <c r="D342" s="32"/>
    </row>
    <row r="343" spans="1:4" x14ac:dyDescent="0.2">
      <c r="A343" s="30" t="s">
        <v>658</v>
      </c>
      <c r="B343" s="30" t="s">
        <v>659</v>
      </c>
      <c r="C343" s="32">
        <v>68994.399999999994</v>
      </c>
      <c r="D343" s="32">
        <v>0</v>
      </c>
    </row>
    <row r="344" spans="1:4" x14ac:dyDescent="0.2">
      <c r="A344" s="30" t="s">
        <v>660</v>
      </c>
      <c r="B344" s="30" t="s">
        <v>504</v>
      </c>
      <c r="C344" s="32">
        <v>4695.24</v>
      </c>
      <c r="D344" s="32">
        <v>0</v>
      </c>
    </row>
    <row r="345" spans="1:4" x14ac:dyDescent="0.2">
      <c r="A345" s="30" t="s">
        <v>661</v>
      </c>
      <c r="B345" s="30" t="s">
        <v>506</v>
      </c>
      <c r="C345" s="32">
        <v>5937.69</v>
      </c>
      <c r="D345" s="32">
        <v>0</v>
      </c>
    </row>
    <row r="346" spans="1:4" x14ac:dyDescent="0.2">
      <c r="A346" s="30" t="s">
        <v>662</v>
      </c>
      <c r="B346" s="30" t="s">
        <v>150</v>
      </c>
      <c r="C346" s="32">
        <v>1134.22</v>
      </c>
      <c r="D346" s="32">
        <v>0</v>
      </c>
    </row>
    <row r="347" spans="1:4" x14ac:dyDescent="0.2">
      <c r="A347" s="30" t="s">
        <v>663</v>
      </c>
      <c r="B347" s="30" t="s">
        <v>152</v>
      </c>
      <c r="C347" s="32">
        <v>2810.62</v>
      </c>
      <c r="D347" s="32">
        <v>0</v>
      </c>
    </row>
    <row r="348" spans="1:4" x14ac:dyDescent="0.2">
      <c r="A348" s="30" t="s">
        <v>384</v>
      </c>
      <c r="B348" s="30" t="s">
        <v>118</v>
      </c>
      <c r="C348" s="32">
        <v>666.38</v>
      </c>
      <c r="D348" s="32">
        <v>0</v>
      </c>
    </row>
    <row r="349" spans="1:4" x14ac:dyDescent="0.2">
      <c r="A349" s="30" t="s">
        <v>386</v>
      </c>
      <c r="B349" s="30" t="s">
        <v>120</v>
      </c>
      <c r="C349" s="32">
        <v>6814.28</v>
      </c>
      <c r="D349" s="32">
        <v>4600</v>
      </c>
    </row>
    <row r="350" spans="1:4" x14ac:dyDescent="0.2">
      <c r="A350" s="30" t="s">
        <v>387</v>
      </c>
      <c r="B350" s="30" t="s">
        <v>122</v>
      </c>
      <c r="C350" s="32">
        <v>499.48</v>
      </c>
      <c r="D350" s="32">
        <v>0</v>
      </c>
    </row>
    <row r="351" spans="1:4" x14ac:dyDescent="0.2">
      <c r="A351" s="30" t="s">
        <v>388</v>
      </c>
      <c r="B351" s="30" t="s">
        <v>124</v>
      </c>
      <c r="C351" s="32">
        <v>460.66</v>
      </c>
      <c r="D351" s="32">
        <v>0</v>
      </c>
    </row>
    <row r="352" spans="1:4" x14ac:dyDescent="0.2">
      <c r="A352" s="30" t="s">
        <v>664</v>
      </c>
      <c r="B352" s="30" t="s">
        <v>166</v>
      </c>
      <c r="C352" s="32">
        <v>686.81</v>
      </c>
      <c r="D352" s="32">
        <v>0</v>
      </c>
    </row>
    <row r="353" spans="1:4" x14ac:dyDescent="0.2">
      <c r="A353" s="30" t="s">
        <v>385</v>
      </c>
      <c r="B353" s="30" t="s">
        <v>621</v>
      </c>
      <c r="C353" s="32">
        <v>12</v>
      </c>
      <c r="D353" s="32">
        <v>0</v>
      </c>
    </row>
    <row r="354" spans="1:4" x14ac:dyDescent="0.2">
      <c r="A354" s="30" t="s">
        <v>665</v>
      </c>
      <c r="B354" s="30" t="s">
        <v>177</v>
      </c>
      <c r="C354" s="32">
        <v>2001.5</v>
      </c>
      <c r="D354" s="32">
        <v>0</v>
      </c>
    </row>
    <row r="355" spans="1:4" x14ac:dyDescent="0.2">
      <c r="A355" s="30" t="s">
        <v>666</v>
      </c>
      <c r="B355" s="30" t="s">
        <v>138</v>
      </c>
      <c r="C355" s="32">
        <v>119.77</v>
      </c>
      <c r="D355" s="32">
        <v>0</v>
      </c>
    </row>
    <row r="356" spans="1:4" x14ac:dyDescent="0.2">
      <c r="A356" s="30" t="s">
        <v>389</v>
      </c>
      <c r="B356" s="30" t="s">
        <v>381</v>
      </c>
      <c r="C356" s="32">
        <v>1150</v>
      </c>
      <c r="D356" s="32">
        <v>3000</v>
      </c>
    </row>
    <row r="357" spans="1:4" x14ac:dyDescent="0.2">
      <c r="A357" s="30" t="s">
        <v>390</v>
      </c>
      <c r="B357" s="30" t="s">
        <v>391</v>
      </c>
      <c r="C357" s="32">
        <v>300</v>
      </c>
      <c r="D357" s="32">
        <v>0</v>
      </c>
    </row>
    <row r="358" spans="1:4" x14ac:dyDescent="0.2">
      <c r="A358" s="30" t="s">
        <v>667</v>
      </c>
      <c r="B358" s="30" t="s">
        <v>134</v>
      </c>
      <c r="C358" s="32">
        <v>1801.01</v>
      </c>
      <c r="D358" s="32">
        <v>2000</v>
      </c>
    </row>
    <row r="359" spans="1:4" x14ac:dyDescent="0.2">
      <c r="A359" s="30"/>
      <c r="B359" s="30" t="s">
        <v>711</v>
      </c>
      <c r="C359" s="32">
        <f>SUM(C343:C358)</f>
        <v>98084.06</v>
      </c>
      <c r="D359" s="32">
        <f t="shared" ref="D359" si="12">SUM(D343:D358)</f>
        <v>9600</v>
      </c>
    </row>
    <row r="360" spans="1:4" x14ac:dyDescent="0.2">
      <c r="A360" s="30"/>
      <c r="B360" s="30"/>
      <c r="C360" s="32"/>
      <c r="D360" s="32"/>
    </row>
    <row r="361" spans="1:4" x14ac:dyDescent="0.2">
      <c r="A361" s="30" t="s">
        <v>668</v>
      </c>
      <c r="B361" s="30" t="s">
        <v>669</v>
      </c>
      <c r="C361" s="32">
        <v>45551.82</v>
      </c>
      <c r="D361" s="32">
        <v>0</v>
      </c>
    </row>
    <row r="362" spans="1:4" x14ac:dyDescent="0.2">
      <c r="A362" s="30" t="s">
        <v>670</v>
      </c>
      <c r="B362" s="30" t="s">
        <v>504</v>
      </c>
      <c r="C362" s="32">
        <v>3443.72</v>
      </c>
      <c r="D362" s="32">
        <v>0</v>
      </c>
    </row>
    <row r="363" spans="1:4" x14ac:dyDescent="0.2">
      <c r="A363" s="30" t="s">
        <v>671</v>
      </c>
      <c r="B363" s="30" t="s">
        <v>506</v>
      </c>
      <c r="C363" s="32">
        <v>4354.99</v>
      </c>
      <c r="D363" s="32">
        <v>0</v>
      </c>
    </row>
    <row r="364" spans="1:4" x14ac:dyDescent="0.2">
      <c r="A364" s="30" t="s">
        <v>672</v>
      </c>
      <c r="B364" s="30" t="s">
        <v>150</v>
      </c>
      <c r="C364" s="32">
        <v>831.89</v>
      </c>
      <c r="D364" s="32">
        <v>0</v>
      </c>
    </row>
    <row r="365" spans="1:4" x14ac:dyDescent="0.2">
      <c r="A365" s="30" t="s">
        <v>673</v>
      </c>
      <c r="B365" s="30" t="s">
        <v>152</v>
      </c>
      <c r="C365" s="32">
        <v>2061.4499999999998</v>
      </c>
      <c r="D365" s="32">
        <v>0</v>
      </c>
    </row>
    <row r="366" spans="1:4" x14ac:dyDescent="0.2">
      <c r="A366" s="30" t="s">
        <v>393</v>
      </c>
      <c r="B366" s="30" t="s">
        <v>118</v>
      </c>
      <c r="C366" s="32">
        <v>512.01</v>
      </c>
      <c r="D366" s="32">
        <v>0</v>
      </c>
    </row>
    <row r="367" spans="1:4" x14ac:dyDescent="0.2">
      <c r="A367" s="30" t="s">
        <v>394</v>
      </c>
      <c r="B367" s="30" t="s">
        <v>120</v>
      </c>
      <c r="C367" s="32">
        <v>2656.15</v>
      </c>
      <c r="D367" s="32">
        <v>1750</v>
      </c>
    </row>
    <row r="368" spans="1:4" x14ac:dyDescent="0.2">
      <c r="A368" s="30" t="s">
        <v>395</v>
      </c>
      <c r="B368" s="30" t="s">
        <v>122</v>
      </c>
      <c r="C368" s="32">
        <v>366.35</v>
      </c>
      <c r="D368" s="32">
        <v>0</v>
      </c>
    </row>
    <row r="369" spans="1:4" x14ac:dyDescent="0.2">
      <c r="A369" s="30" t="s">
        <v>674</v>
      </c>
      <c r="B369" s="30" t="s">
        <v>675</v>
      </c>
      <c r="C369" s="32">
        <v>803.53</v>
      </c>
      <c r="D369" s="32">
        <v>0</v>
      </c>
    </row>
    <row r="370" spans="1:4" x14ac:dyDescent="0.2">
      <c r="A370" s="30" t="s">
        <v>676</v>
      </c>
      <c r="B370" s="30" t="s">
        <v>124</v>
      </c>
      <c r="C370" s="32">
        <v>162.91</v>
      </c>
      <c r="D370" s="32">
        <v>0</v>
      </c>
    </row>
    <row r="371" spans="1:4" x14ac:dyDescent="0.2">
      <c r="A371" s="30" t="s">
        <v>677</v>
      </c>
      <c r="B371" s="30" t="s">
        <v>166</v>
      </c>
      <c r="C371" s="32">
        <v>503.74</v>
      </c>
      <c r="D371" s="32">
        <v>0</v>
      </c>
    </row>
    <row r="372" spans="1:4" x14ac:dyDescent="0.2">
      <c r="A372" s="30" t="s">
        <v>398</v>
      </c>
      <c r="B372" s="30" t="s">
        <v>126</v>
      </c>
      <c r="C372" s="32">
        <v>3043.37</v>
      </c>
      <c r="D372" s="32">
        <v>2000</v>
      </c>
    </row>
    <row r="373" spans="1:4" x14ac:dyDescent="0.2">
      <c r="A373" s="30" t="s">
        <v>678</v>
      </c>
      <c r="B373" s="30" t="s">
        <v>177</v>
      </c>
      <c r="C373" s="32">
        <v>1467.99</v>
      </c>
      <c r="D373" s="32">
        <v>0</v>
      </c>
    </row>
    <row r="374" spans="1:4" x14ac:dyDescent="0.2">
      <c r="A374" s="30" t="s">
        <v>399</v>
      </c>
      <c r="B374" s="30" t="s">
        <v>179</v>
      </c>
      <c r="C374" s="32">
        <v>586.22</v>
      </c>
      <c r="D374" s="32">
        <v>0</v>
      </c>
    </row>
    <row r="375" spans="1:4" x14ac:dyDescent="0.2">
      <c r="A375" s="30" t="s">
        <v>400</v>
      </c>
      <c r="B375" s="30" t="s">
        <v>655</v>
      </c>
      <c r="C375" s="32">
        <v>5044.93</v>
      </c>
      <c r="D375" s="32">
        <v>4000</v>
      </c>
    </row>
    <row r="376" spans="1:4" x14ac:dyDescent="0.2">
      <c r="A376" s="30" t="s">
        <v>397</v>
      </c>
      <c r="B376" s="30" t="s">
        <v>224</v>
      </c>
      <c r="C376" s="32">
        <v>1334.25</v>
      </c>
      <c r="D376" s="32">
        <v>5000</v>
      </c>
    </row>
    <row r="377" spans="1:4" x14ac:dyDescent="0.2">
      <c r="A377" s="30" t="s">
        <v>679</v>
      </c>
      <c r="B377" s="30" t="s">
        <v>138</v>
      </c>
      <c r="C377" s="32">
        <v>87.85</v>
      </c>
      <c r="D377" s="32">
        <v>0</v>
      </c>
    </row>
    <row r="378" spans="1:4" x14ac:dyDescent="0.2">
      <c r="A378" s="30" t="s">
        <v>680</v>
      </c>
      <c r="B378" s="30" t="s">
        <v>203</v>
      </c>
      <c r="C378" s="32">
        <v>397.75</v>
      </c>
      <c r="D378" s="32">
        <v>0</v>
      </c>
    </row>
    <row r="379" spans="1:4" x14ac:dyDescent="0.2">
      <c r="A379" s="30" t="s">
        <v>681</v>
      </c>
      <c r="B379" s="30" t="s">
        <v>547</v>
      </c>
      <c r="C379" s="32">
        <v>270</v>
      </c>
      <c r="D379" s="32">
        <v>0</v>
      </c>
    </row>
    <row r="380" spans="1:4" x14ac:dyDescent="0.2">
      <c r="A380" s="30" t="s">
        <v>682</v>
      </c>
      <c r="B380" s="30" t="s">
        <v>404</v>
      </c>
      <c r="C380" s="32">
        <v>150.49</v>
      </c>
      <c r="D380" s="32">
        <v>1000</v>
      </c>
    </row>
    <row r="381" spans="1:4" x14ac:dyDescent="0.2">
      <c r="A381" s="30" t="s">
        <v>405</v>
      </c>
      <c r="B381" s="30" t="s">
        <v>134</v>
      </c>
      <c r="C381" s="32">
        <v>3673.3</v>
      </c>
      <c r="D381" s="32">
        <v>5000</v>
      </c>
    </row>
    <row r="382" spans="1:4" x14ac:dyDescent="0.2">
      <c r="A382" s="30" t="s">
        <v>407</v>
      </c>
      <c r="B382" s="30" t="s">
        <v>683</v>
      </c>
      <c r="C382" s="32">
        <v>7946.24</v>
      </c>
      <c r="D382" s="32">
        <v>1500</v>
      </c>
    </row>
    <row r="383" spans="1:4" x14ac:dyDescent="0.2">
      <c r="A383" s="30"/>
      <c r="B383" s="30" t="s">
        <v>711</v>
      </c>
      <c r="C383" s="32">
        <f>SUM(C361:C382)</f>
        <v>85250.950000000026</v>
      </c>
      <c r="D383" s="32">
        <f t="shared" ref="D383" si="13">SUM(D361:D382)</f>
        <v>20250</v>
      </c>
    </row>
    <row r="384" spans="1:4" x14ac:dyDescent="0.2">
      <c r="A384" s="30"/>
      <c r="B384" s="30"/>
      <c r="C384" s="32"/>
      <c r="D384" s="32"/>
    </row>
    <row r="385" spans="1:4" x14ac:dyDescent="0.2">
      <c r="A385" s="30" t="s">
        <v>684</v>
      </c>
      <c r="B385" s="30" t="s">
        <v>685</v>
      </c>
      <c r="C385" s="32">
        <v>5985.04</v>
      </c>
      <c r="D385" s="32">
        <v>0</v>
      </c>
    </row>
    <row r="386" spans="1:4" x14ac:dyDescent="0.2">
      <c r="A386" s="30" t="s">
        <v>686</v>
      </c>
      <c r="B386" s="30" t="s">
        <v>504</v>
      </c>
      <c r="C386" s="32">
        <v>452.47</v>
      </c>
      <c r="D386" s="32">
        <v>0</v>
      </c>
    </row>
    <row r="387" spans="1:4" x14ac:dyDescent="0.2">
      <c r="A387" s="30" t="s">
        <v>687</v>
      </c>
      <c r="B387" s="30" t="s">
        <v>506</v>
      </c>
      <c r="C387" s="32">
        <v>572.20000000000005</v>
      </c>
      <c r="D387" s="32">
        <v>0</v>
      </c>
    </row>
    <row r="388" spans="1:4" x14ac:dyDescent="0.2">
      <c r="A388" s="30" t="s">
        <v>688</v>
      </c>
      <c r="B388" s="30" t="s">
        <v>150</v>
      </c>
      <c r="C388" s="32">
        <v>109.3</v>
      </c>
      <c r="D388" s="32">
        <v>0</v>
      </c>
    </row>
    <row r="389" spans="1:4" x14ac:dyDescent="0.2">
      <c r="A389" s="30" t="s">
        <v>689</v>
      </c>
      <c r="B389" s="30" t="s">
        <v>152</v>
      </c>
      <c r="C389" s="32">
        <v>270.85000000000002</v>
      </c>
      <c r="D389" s="32">
        <v>0</v>
      </c>
    </row>
    <row r="390" spans="1:4" x14ac:dyDescent="0.2">
      <c r="A390" s="30" t="s">
        <v>410</v>
      </c>
      <c r="B390" s="30" t="s">
        <v>118</v>
      </c>
      <c r="C390" s="32">
        <v>36.950000000000003</v>
      </c>
      <c r="D390" s="32">
        <v>0</v>
      </c>
    </row>
    <row r="391" spans="1:4" x14ac:dyDescent="0.2">
      <c r="A391" s="30" t="s">
        <v>411</v>
      </c>
      <c r="B391" s="30" t="s">
        <v>120</v>
      </c>
      <c r="C391" s="32">
        <v>10832.74</v>
      </c>
      <c r="D391" s="32">
        <v>15750</v>
      </c>
    </row>
    <row r="392" spans="1:4" x14ac:dyDescent="0.2">
      <c r="A392" s="30" t="s">
        <v>690</v>
      </c>
      <c r="B392" s="30" t="s">
        <v>122</v>
      </c>
      <c r="C392" s="32">
        <v>48.13</v>
      </c>
      <c r="D392" s="32">
        <v>0</v>
      </c>
    </row>
    <row r="393" spans="1:4" x14ac:dyDescent="0.2">
      <c r="A393" s="30" t="s">
        <v>691</v>
      </c>
      <c r="B393" s="30" t="s">
        <v>124</v>
      </c>
      <c r="C393" s="32">
        <v>152.12</v>
      </c>
      <c r="D393" s="32">
        <v>0</v>
      </c>
    </row>
    <row r="394" spans="1:4" x14ac:dyDescent="0.2">
      <c r="A394" s="30" t="s">
        <v>692</v>
      </c>
      <c r="B394" s="30" t="s">
        <v>162</v>
      </c>
      <c r="C394" s="32">
        <v>2787.2</v>
      </c>
      <c r="D394" s="32">
        <v>0</v>
      </c>
    </row>
    <row r="395" spans="1:4" x14ac:dyDescent="0.2">
      <c r="A395" s="30" t="s">
        <v>693</v>
      </c>
      <c r="B395" s="30" t="s">
        <v>166</v>
      </c>
      <c r="C395" s="32">
        <v>66.19</v>
      </c>
      <c r="D395" s="32">
        <v>0</v>
      </c>
    </row>
    <row r="396" spans="1:4" x14ac:dyDescent="0.2">
      <c r="A396" s="30" t="s">
        <v>694</v>
      </c>
      <c r="B396" s="30" t="s">
        <v>177</v>
      </c>
      <c r="C396" s="32">
        <v>192.88</v>
      </c>
      <c r="D396" s="32">
        <v>0</v>
      </c>
    </row>
    <row r="397" spans="1:4" x14ac:dyDescent="0.2">
      <c r="A397" s="30" t="s">
        <v>412</v>
      </c>
      <c r="B397" s="30" t="s">
        <v>413</v>
      </c>
      <c r="C397" s="32">
        <v>2520</v>
      </c>
      <c r="D397" s="32">
        <v>3500</v>
      </c>
    </row>
    <row r="398" spans="1:4" x14ac:dyDescent="0.2">
      <c r="A398" s="30" t="s">
        <v>414</v>
      </c>
      <c r="B398" s="30" t="s">
        <v>224</v>
      </c>
      <c r="C398" s="32">
        <v>14027.1</v>
      </c>
      <c r="D398" s="32">
        <v>14200</v>
      </c>
    </row>
    <row r="399" spans="1:4" x14ac:dyDescent="0.2">
      <c r="A399" s="30" t="s">
        <v>695</v>
      </c>
      <c r="B399" s="30" t="s">
        <v>138</v>
      </c>
      <c r="C399" s="32">
        <v>11.54</v>
      </c>
      <c r="D399" s="32">
        <v>0</v>
      </c>
    </row>
    <row r="400" spans="1:4" x14ac:dyDescent="0.2">
      <c r="A400" s="30" t="s">
        <v>415</v>
      </c>
      <c r="B400" s="30" t="s">
        <v>381</v>
      </c>
      <c r="C400" s="32">
        <v>874.01</v>
      </c>
      <c r="D400" s="32">
        <v>1333</v>
      </c>
    </row>
    <row r="401" spans="1:4" x14ac:dyDescent="0.2">
      <c r="A401" s="30" t="s">
        <v>416</v>
      </c>
      <c r="B401" s="30" t="s">
        <v>134</v>
      </c>
      <c r="C401" s="32">
        <v>28363.61</v>
      </c>
      <c r="D401" s="32">
        <v>28600</v>
      </c>
    </row>
    <row r="402" spans="1:4" x14ac:dyDescent="0.2">
      <c r="A402" s="30"/>
      <c r="B402" s="30" t="s">
        <v>711</v>
      </c>
      <c r="C402" s="32">
        <f>SUM(C385:C401)</f>
        <v>67302.33</v>
      </c>
      <c r="D402" s="32">
        <f t="shared" ref="D402" si="14">SUM(D385:D401)</f>
        <v>63383</v>
      </c>
    </row>
    <row r="403" spans="1:4" x14ac:dyDescent="0.2">
      <c r="A403" s="30"/>
      <c r="B403" s="30"/>
      <c r="C403" s="32"/>
      <c r="D403" s="32"/>
    </row>
    <row r="404" spans="1:4" x14ac:dyDescent="0.2">
      <c r="A404" s="30" t="s">
        <v>696</v>
      </c>
      <c r="B404" s="30" t="s">
        <v>697</v>
      </c>
      <c r="C404" s="32">
        <v>5343.85</v>
      </c>
      <c r="D404" s="32">
        <v>0</v>
      </c>
    </row>
    <row r="405" spans="1:4" x14ac:dyDescent="0.2">
      <c r="A405" s="30" t="s">
        <v>698</v>
      </c>
      <c r="B405" s="30" t="s">
        <v>504</v>
      </c>
      <c r="C405" s="32">
        <v>368.74</v>
      </c>
      <c r="D405" s="32">
        <v>0</v>
      </c>
    </row>
    <row r="406" spans="1:4" x14ac:dyDescent="0.2">
      <c r="A406" s="30" t="s">
        <v>699</v>
      </c>
      <c r="B406" s="30" t="s">
        <v>150</v>
      </c>
      <c r="C406" s="32">
        <v>89.07</v>
      </c>
      <c r="D406" s="32">
        <v>0</v>
      </c>
    </row>
    <row r="407" spans="1:4" x14ac:dyDescent="0.2">
      <c r="A407" s="30" t="s">
        <v>700</v>
      </c>
      <c r="B407" s="30" t="s">
        <v>152</v>
      </c>
      <c r="C407" s="32">
        <v>220.72</v>
      </c>
      <c r="D407" s="32">
        <v>0</v>
      </c>
    </row>
    <row r="408" spans="1:4" x14ac:dyDescent="0.2">
      <c r="A408" s="30" t="s">
        <v>701</v>
      </c>
      <c r="B408" s="30" t="s">
        <v>118</v>
      </c>
      <c r="C408" s="32">
        <v>30.14</v>
      </c>
      <c r="D408" s="32">
        <v>0</v>
      </c>
    </row>
    <row r="409" spans="1:4" x14ac:dyDescent="0.2">
      <c r="A409" s="30" t="s">
        <v>419</v>
      </c>
      <c r="B409" s="30" t="s">
        <v>120</v>
      </c>
      <c r="C409" s="32">
        <v>63.04</v>
      </c>
      <c r="D409" s="32">
        <v>0</v>
      </c>
    </row>
    <row r="410" spans="1:4" x14ac:dyDescent="0.2">
      <c r="A410" s="30" t="s">
        <v>420</v>
      </c>
      <c r="B410" s="30" t="s">
        <v>122</v>
      </c>
      <c r="C410" s="32">
        <v>39.21</v>
      </c>
      <c r="D410" s="32">
        <v>0</v>
      </c>
    </row>
    <row r="411" spans="1:4" x14ac:dyDescent="0.2">
      <c r="A411" s="30" t="s">
        <v>702</v>
      </c>
      <c r="B411" s="30" t="s">
        <v>166</v>
      </c>
      <c r="C411" s="32">
        <v>53.93</v>
      </c>
      <c r="D411" s="32">
        <v>0</v>
      </c>
    </row>
    <row r="412" spans="1:4" x14ac:dyDescent="0.2">
      <c r="A412" s="30" t="s">
        <v>703</v>
      </c>
      <c r="B412" s="30" t="s">
        <v>177</v>
      </c>
      <c r="C412" s="32">
        <v>157.19</v>
      </c>
      <c r="D412" s="32">
        <v>0</v>
      </c>
    </row>
    <row r="413" spans="1:4" x14ac:dyDescent="0.2">
      <c r="A413" s="30" t="s">
        <v>423</v>
      </c>
      <c r="B413" s="30" t="s">
        <v>704</v>
      </c>
      <c r="C413" s="32">
        <v>0</v>
      </c>
      <c r="D413" s="32">
        <v>1200</v>
      </c>
    </row>
    <row r="414" spans="1:4" x14ac:dyDescent="0.2">
      <c r="A414" s="30" t="s">
        <v>705</v>
      </c>
      <c r="B414" s="30" t="s">
        <v>138</v>
      </c>
      <c r="C414" s="32">
        <v>9.42</v>
      </c>
      <c r="D414" s="32">
        <v>0</v>
      </c>
    </row>
    <row r="415" spans="1:4" x14ac:dyDescent="0.2">
      <c r="A415" s="30"/>
      <c r="B415" s="30" t="s">
        <v>711</v>
      </c>
      <c r="C415" s="32">
        <f>SUM(C404:C414)</f>
        <v>6375.31</v>
      </c>
      <c r="D415" s="32">
        <f t="shared" ref="D415" si="15">SUM(D404:D414)</f>
        <v>1200</v>
      </c>
    </row>
    <row r="416" spans="1:4" x14ac:dyDescent="0.2">
      <c r="A416" s="30"/>
      <c r="B416" s="30"/>
      <c r="C416" s="32"/>
      <c r="D416" s="32"/>
    </row>
    <row r="417" spans="1:4" x14ac:dyDescent="0.2">
      <c r="A417" s="30" t="s">
        <v>426</v>
      </c>
      <c r="B417" s="30" t="s">
        <v>706</v>
      </c>
      <c r="C417" s="32">
        <v>0</v>
      </c>
      <c r="D417" s="32">
        <v>3000</v>
      </c>
    </row>
    <row r="418" spans="1:4" x14ac:dyDescent="0.2">
      <c r="A418" s="30" t="s">
        <v>707</v>
      </c>
      <c r="B418" s="30" t="s">
        <v>708</v>
      </c>
      <c r="C418" s="32">
        <v>0</v>
      </c>
      <c r="D418" s="32">
        <v>500</v>
      </c>
    </row>
    <row r="419" spans="1:4" customFormat="1" ht="15" x14ac:dyDescent="0.25">
      <c r="A419" s="33"/>
      <c r="B419" s="33"/>
      <c r="C419" s="34"/>
      <c r="D419" s="34"/>
    </row>
    <row r="420" spans="1:4" x14ac:dyDescent="0.2">
      <c r="A420" s="30" t="s">
        <v>113</v>
      </c>
      <c r="B420" s="30" t="s">
        <v>709</v>
      </c>
      <c r="C420" s="32">
        <f>+C77+C103+C122+C163+C171+C175+C196+C209+C211+C214+C237+C239+C254+C268+C270+C275+C295+C317+C333+C335+C341+C359+C383+C402+C415+C417+C418</f>
        <v>1355553.9999999998</v>
      </c>
      <c r="D420" s="32">
        <f>+D77+D103+D122+D163+D171+D175+D196+D209+D211+D214+D237+D239+D254+D268+D270+D275+D295+D317+D333+D335+D341+D359+D383+D402+D415+D417+D418</f>
        <v>1377194.08</v>
      </c>
    </row>
    <row r="421" spans="1:4" customFormat="1" ht="15" x14ac:dyDescent="0.25">
      <c r="A421" s="33"/>
      <c r="B421" s="33"/>
      <c r="C421" s="34"/>
      <c r="D421" s="34"/>
    </row>
    <row r="422" spans="1:4" ht="13.5" thickBot="1" x14ac:dyDescent="0.25">
      <c r="A422" s="30" t="s">
        <v>113</v>
      </c>
      <c r="B422" s="30" t="s">
        <v>710</v>
      </c>
      <c r="C422" s="31">
        <f>-(ROUND(-C55+C420, 5))</f>
        <v>55610</v>
      </c>
      <c r="D422" s="32">
        <f>-(ROUND(-D55+D420, 5))</f>
        <v>3101.92</v>
      </c>
    </row>
    <row r="423" spans="1:4" customFormat="1" ht="16.5" thickTop="1" thickBot="1" x14ac:dyDescent="0.3">
      <c r="A423" s="35"/>
      <c r="B423" s="35"/>
      <c r="C423" s="36"/>
      <c r="D423" s="3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73"/>
  <sheetViews>
    <sheetView topLeftCell="A346" workbookViewId="0">
      <selection activeCell="G370" sqref="F370:G370"/>
    </sheetView>
  </sheetViews>
  <sheetFormatPr defaultColWidth="9.140625" defaultRowHeight="12.75" x14ac:dyDescent="0.2"/>
  <cols>
    <col min="1" max="1" width="17.7109375" style="29" customWidth="1"/>
    <col min="2" max="2" width="32.7109375" style="29" customWidth="1"/>
    <col min="3" max="4" width="14.7109375" style="29" customWidth="1"/>
    <col min="5" max="16384" width="9.140625" style="29"/>
  </cols>
  <sheetData>
    <row r="1" spans="1:4" ht="25.5" x14ac:dyDescent="0.2">
      <c r="A1" s="26" t="s">
        <v>432</v>
      </c>
      <c r="B1" s="26" t="s">
        <v>1</v>
      </c>
      <c r="C1" s="27" t="s">
        <v>433</v>
      </c>
      <c r="D1" s="28" t="s">
        <v>434</v>
      </c>
    </row>
    <row r="2" spans="1:4" x14ac:dyDescent="0.2">
      <c r="A2" s="30" t="s">
        <v>435</v>
      </c>
    </row>
    <row r="3" spans="1:4" x14ac:dyDescent="0.2">
      <c r="A3" s="30" t="s">
        <v>30</v>
      </c>
      <c r="B3" s="30" t="s">
        <v>436</v>
      </c>
      <c r="C3" s="31">
        <v>21823.48</v>
      </c>
      <c r="D3" s="32">
        <v>27000</v>
      </c>
    </row>
    <row r="4" spans="1:4" x14ac:dyDescent="0.2">
      <c r="A4" s="30" t="s">
        <v>34</v>
      </c>
      <c r="B4" s="30" t="s">
        <v>437</v>
      </c>
      <c r="C4" s="32">
        <v>3832.5</v>
      </c>
      <c r="D4" s="32">
        <v>5000</v>
      </c>
    </row>
    <row r="5" spans="1:4" x14ac:dyDescent="0.2">
      <c r="A5" s="30" t="s">
        <v>20</v>
      </c>
      <c r="B5" s="30" t="s">
        <v>438</v>
      </c>
      <c r="C5" s="32">
        <v>10540</v>
      </c>
      <c r="D5" s="32">
        <v>12000</v>
      </c>
    </row>
    <row r="6" spans="1:4" x14ac:dyDescent="0.2">
      <c r="A6" s="30" t="s">
        <v>22</v>
      </c>
      <c r="B6" s="30" t="s">
        <v>439</v>
      </c>
      <c r="C6" s="32">
        <v>1156.58</v>
      </c>
      <c r="D6" s="32">
        <v>1200</v>
      </c>
    </row>
    <row r="7" spans="1:4" x14ac:dyDescent="0.2">
      <c r="A7" s="30" t="s">
        <v>440</v>
      </c>
      <c r="B7" s="30" t="s">
        <v>441</v>
      </c>
      <c r="C7" s="32">
        <v>0</v>
      </c>
      <c r="D7" s="32">
        <v>23676</v>
      </c>
    </row>
    <row r="8" spans="1:4" x14ac:dyDescent="0.2">
      <c r="A8" s="30" t="s">
        <v>442</v>
      </c>
      <c r="B8" s="30" t="s">
        <v>24</v>
      </c>
      <c r="C8" s="32">
        <v>26119.759999999998</v>
      </c>
      <c r="D8" s="32">
        <v>0</v>
      </c>
    </row>
    <row r="9" spans="1:4" x14ac:dyDescent="0.2">
      <c r="A9" s="30" t="s">
        <v>17</v>
      </c>
      <c r="B9" s="30" t="s">
        <v>443</v>
      </c>
      <c r="C9" s="32">
        <v>588708.1</v>
      </c>
      <c r="D9" s="32">
        <v>595000</v>
      </c>
    </row>
    <row r="10" spans="1:4" x14ac:dyDescent="0.2">
      <c r="A10" s="30" t="s">
        <v>36</v>
      </c>
      <c r="B10" s="30" t="s">
        <v>444</v>
      </c>
      <c r="C10" s="32">
        <v>159784.65</v>
      </c>
      <c r="D10" s="32">
        <v>157250</v>
      </c>
    </row>
    <row r="11" spans="1:4" x14ac:dyDescent="0.2">
      <c r="A11" s="30" t="s">
        <v>52</v>
      </c>
      <c r="B11" s="30" t="s">
        <v>445</v>
      </c>
      <c r="C11" s="32">
        <v>1973.35</v>
      </c>
      <c r="D11" s="32">
        <v>0</v>
      </c>
    </row>
    <row r="12" spans="1:4" x14ac:dyDescent="0.2">
      <c r="A12" s="30" t="s">
        <v>38</v>
      </c>
      <c r="B12" s="30" t="s">
        <v>446</v>
      </c>
      <c r="C12" s="32">
        <v>9479</v>
      </c>
      <c r="D12" s="32">
        <v>7915</v>
      </c>
    </row>
    <row r="13" spans="1:4" x14ac:dyDescent="0.2">
      <c r="A13" s="30" t="s">
        <v>39</v>
      </c>
      <c r="B13" s="30" t="s">
        <v>447</v>
      </c>
      <c r="C13" s="32">
        <v>15245</v>
      </c>
      <c r="D13" s="32">
        <v>12020</v>
      </c>
    </row>
    <row r="14" spans="1:4" x14ac:dyDescent="0.2">
      <c r="A14" s="30" t="s">
        <v>40</v>
      </c>
      <c r="B14" s="30" t="s">
        <v>448</v>
      </c>
      <c r="C14" s="32">
        <v>10671.95</v>
      </c>
      <c r="D14" s="32">
        <v>10740</v>
      </c>
    </row>
    <row r="15" spans="1:4" x14ac:dyDescent="0.2">
      <c r="A15" s="30" t="s">
        <v>44</v>
      </c>
      <c r="B15" s="30" t="s">
        <v>449</v>
      </c>
      <c r="C15" s="32">
        <v>8531</v>
      </c>
      <c r="D15" s="32">
        <v>7900</v>
      </c>
    </row>
    <row r="16" spans="1:4" x14ac:dyDescent="0.2">
      <c r="A16" s="30" t="s">
        <v>55</v>
      </c>
      <c r="B16" s="30" t="s">
        <v>450</v>
      </c>
      <c r="C16" s="32">
        <v>1686.13</v>
      </c>
      <c r="D16" s="32">
        <v>1300</v>
      </c>
    </row>
    <row r="17" spans="1:4" x14ac:dyDescent="0.2">
      <c r="A17" s="30" t="s">
        <v>57</v>
      </c>
      <c r="B17" s="30" t="s">
        <v>58</v>
      </c>
      <c r="C17" s="32">
        <v>194.85</v>
      </c>
      <c r="D17" s="32">
        <v>150</v>
      </c>
    </row>
    <row r="18" spans="1:4" x14ac:dyDescent="0.2">
      <c r="A18" s="30" t="s">
        <v>63</v>
      </c>
      <c r="B18" s="30" t="s">
        <v>451</v>
      </c>
      <c r="C18" s="32">
        <v>2865.82</v>
      </c>
      <c r="D18" s="32">
        <v>2500</v>
      </c>
    </row>
    <row r="19" spans="1:4" x14ac:dyDescent="0.2">
      <c r="A19" s="30" t="s">
        <v>59</v>
      </c>
      <c r="B19" s="30" t="s">
        <v>452</v>
      </c>
      <c r="C19" s="32">
        <v>18892.759999999998</v>
      </c>
      <c r="D19" s="32">
        <v>11000</v>
      </c>
    </row>
    <row r="20" spans="1:4" x14ac:dyDescent="0.2">
      <c r="A20" s="30" t="s">
        <v>61</v>
      </c>
      <c r="B20" s="30" t="s">
        <v>453</v>
      </c>
      <c r="C20" s="32">
        <v>20074.89</v>
      </c>
      <c r="D20" s="32">
        <v>19000</v>
      </c>
    </row>
    <row r="21" spans="1:4" x14ac:dyDescent="0.2">
      <c r="A21" s="30" t="s">
        <v>66</v>
      </c>
      <c r="B21" s="30" t="s">
        <v>454</v>
      </c>
      <c r="C21" s="32">
        <v>63821.35</v>
      </c>
      <c r="D21" s="32">
        <v>62030</v>
      </c>
    </row>
    <row r="22" spans="1:4" x14ac:dyDescent="0.2">
      <c r="A22" s="30" t="s">
        <v>455</v>
      </c>
      <c r="B22" s="30" t="s">
        <v>456</v>
      </c>
      <c r="C22" s="32">
        <v>4425</v>
      </c>
      <c r="D22" s="32">
        <v>0</v>
      </c>
    </row>
    <row r="23" spans="1:4" x14ac:dyDescent="0.2">
      <c r="A23" s="30" t="s">
        <v>25</v>
      </c>
      <c r="B23" s="30" t="s">
        <v>457</v>
      </c>
      <c r="C23" s="32">
        <v>6236.81</v>
      </c>
      <c r="D23" s="32">
        <v>12650</v>
      </c>
    </row>
    <row r="24" spans="1:4" x14ac:dyDescent="0.2">
      <c r="A24" s="30" t="s">
        <v>97</v>
      </c>
      <c r="B24" s="30" t="s">
        <v>458</v>
      </c>
      <c r="C24" s="32">
        <v>19465</v>
      </c>
      <c r="D24" s="32">
        <v>17500</v>
      </c>
    </row>
    <row r="25" spans="1:4" x14ac:dyDescent="0.2">
      <c r="A25" s="30" t="s">
        <v>459</v>
      </c>
      <c r="B25" s="30" t="s">
        <v>460</v>
      </c>
      <c r="C25" s="32">
        <v>4177</v>
      </c>
      <c r="D25" s="32">
        <v>0</v>
      </c>
    </row>
    <row r="26" spans="1:4" x14ac:dyDescent="0.2">
      <c r="A26" s="30" t="s">
        <v>48</v>
      </c>
      <c r="B26" s="30" t="s">
        <v>461</v>
      </c>
      <c r="C26" s="32">
        <v>1312.95</v>
      </c>
      <c r="D26" s="32">
        <v>1500</v>
      </c>
    </row>
    <row r="27" spans="1:4" x14ac:dyDescent="0.2">
      <c r="A27" s="30" t="s">
        <v>27</v>
      </c>
      <c r="B27" s="30" t="s">
        <v>462</v>
      </c>
      <c r="C27" s="32">
        <v>1104.53</v>
      </c>
      <c r="D27" s="32">
        <v>1200</v>
      </c>
    </row>
    <row r="28" spans="1:4" x14ac:dyDescent="0.2">
      <c r="A28" s="30" t="s">
        <v>73</v>
      </c>
      <c r="B28" s="30" t="s">
        <v>463</v>
      </c>
      <c r="C28" s="32">
        <v>40628.31</v>
      </c>
      <c r="D28" s="32">
        <v>40000</v>
      </c>
    </row>
    <row r="29" spans="1:4" x14ac:dyDescent="0.2">
      <c r="A29" s="30" t="s">
        <v>69</v>
      </c>
      <c r="B29" s="30" t="s">
        <v>464</v>
      </c>
      <c r="C29" s="32">
        <v>916.63</v>
      </c>
      <c r="D29" s="32">
        <v>0</v>
      </c>
    </row>
    <row r="30" spans="1:4" x14ac:dyDescent="0.2">
      <c r="A30" s="30" t="s">
        <v>71</v>
      </c>
      <c r="B30" s="30" t="s">
        <v>465</v>
      </c>
      <c r="C30" s="32">
        <v>8323.35</v>
      </c>
      <c r="D30" s="32">
        <v>12000</v>
      </c>
    </row>
    <row r="31" spans="1:4" x14ac:dyDescent="0.2">
      <c r="A31" s="30" t="s">
        <v>86</v>
      </c>
      <c r="B31" s="30" t="s">
        <v>466</v>
      </c>
      <c r="C31" s="32">
        <v>18000</v>
      </c>
      <c r="D31" s="32">
        <v>20000</v>
      </c>
    </row>
    <row r="32" spans="1:4" x14ac:dyDescent="0.2">
      <c r="A32" s="30" t="s">
        <v>467</v>
      </c>
      <c r="B32" s="30" t="s">
        <v>468</v>
      </c>
      <c r="C32" s="32">
        <v>0</v>
      </c>
      <c r="D32" s="32">
        <v>5000</v>
      </c>
    </row>
    <row r="33" spans="1:4" x14ac:dyDescent="0.2">
      <c r="A33" s="30" t="s">
        <v>89</v>
      </c>
      <c r="B33" s="30" t="s">
        <v>469</v>
      </c>
      <c r="C33" s="32">
        <v>33500</v>
      </c>
      <c r="D33" s="32">
        <v>31500</v>
      </c>
    </row>
    <row r="34" spans="1:4" x14ac:dyDescent="0.2">
      <c r="A34" s="30" t="s">
        <v>90</v>
      </c>
      <c r="B34" s="30" t="s">
        <v>470</v>
      </c>
      <c r="C34" s="32">
        <v>29500</v>
      </c>
      <c r="D34" s="32">
        <v>30000</v>
      </c>
    </row>
    <row r="35" spans="1:4" x14ac:dyDescent="0.2">
      <c r="A35" s="30" t="s">
        <v>32</v>
      </c>
      <c r="B35" s="30" t="s">
        <v>471</v>
      </c>
      <c r="C35" s="32">
        <v>38520</v>
      </c>
      <c r="D35" s="32">
        <v>40000</v>
      </c>
    </row>
    <row r="36" spans="1:4" x14ac:dyDescent="0.2">
      <c r="A36" s="30" t="s">
        <v>42</v>
      </c>
      <c r="B36" s="30" t="s">
        <v>472</v>
      </c>
      <c r="C36" s="32">
        <v>36836.51</v>
      </c>
      <c r="D36" s="32">
        <v>33900</v>
      </c>
    </row>
    <row r="37" spans="1:4" x14ac:dyDescent="0.2">
      <c r="A37" s="30" t="s">
        <v>100</v>
      </c>
      <c r="B37" s="30" t="s">
        <v>473</v>
      </c>
      <c r="C37" s="32">
        <v>0</v>
      </c>
      <c r="D37" s="32">
        <v>10263</v>
      </c>
    </row>
    <row r="38" spans="1:4" x14ac:dyDescent="0.2">
      <c r="A38" s="30" t="s">
        <v>83</v>
      </c>
      <c r="B38" s="30" t="s">
        <v>474</v>
      </c>
      <c r="C38" s="32">
        <v>5500</v>
      </c>
      <c r="D38" s="32">
        <v>5500</v>
      </c>
    </row>
    <row r="39" spans="1:4" x14ac:dyDescent="0.2">
      <c r="A39" s="30" t="s">
        <v>46</v>
      </c>
      <c r="B39" s="30" t="s">
        <v>47</v>
      </c>
      <c r="C39" s="32">
        <v>2990</v>
      </c>
      <c r="D39" s="32">
        <v>4025</v>
      </c>
    </row>
    <row r="40" spans="1:4" x14ac:dyDescent="0.2">
      <c r="A40" s="30" t="s">
        <v>92</v>
      </c>
      <c r="B40" s="30" t="s">
        <v>93</v>
      </c>
      <c r="C40" s="32">
        <v>4497.2</v>
      </c>
      <c r="D40" s="32">
        <v>0</v>
      </c>
    </row>
    <row r="41" spans="1:4" x14ac:dyDescent="0.2">
      <c r="A41" s="30" t="s">
        <v>475</v>
      </c>
      <c r="B41" s="30" t="s">
        <v>476</v>
      </c>
      <c r="C41" s="32">
        <v>0</v>
      </c>
      <c r="D41" s="32">
        <v>5250</v>
      </c>
    </row>
    <row r="42" spans="1:4" x14ac:dyDescent="0.2">
      <c r="A42" s="30" t="s">
        <v>94</v>
      </c>
      <c r="B42" s="30" t="s">
        <v>477</v>
      </c>
      <c r="C42" s="32">
        <v>55165.1</v>
      </c>
      <c r="D42" s="32">
        <v>53994</v>
      </c>
    </row>
    <row r="43" spans="1:4" x14ac:dyDescent="0.2">
      <c r="A43" s="30" t="s">
        <v>478</v>
      </c>
      <c r="B43" s="30" t="s">
        <v>479</v>
      </c>
      <c r="C43" s="32">
        <v>3159.39</v>
      </c>
      <c r="D43" s="32">
        <v>0</v>
      </c>
    </row>
    <row r="44" spans="1:4" x14ac:dyDescent="0.2">
      <c r="A44" s="30" t="s">
        <v>96</v>
      </c>
      <c r="B44" s="30" t="s">
        <v>480</v>
      </c>
      <c r="C44" s="32">
        <f>54772.95+4496.1</f>
        <v>59269.049999999996</v>
      </c>
      <c r="D44" s="32">
        <v>43850</v>
      </c>
    </row>
    <row r="45" spans="1:4" x14ac:dyDescent="0.2">
      <c r="A45" s="30" t="s">
        <v>481</v>
      </c>
      <c r="B45" s="30" t="s">
        <v>482</v>
      </c>
      <c r="C45" s="32">
        <v>164.79</v>
      </c>
      <c r="D45" s="32">
        <v>0</v>
      </c>
    </row>
    <row r="46" spans="1:4" x14ac:dyDescent="0.2">
      <c r="A46" s="30" t="s">
        <v>483</v>
      </c>
      <c r="B46" s="30" t="s">
        <v>484</v>
      </c>
      <c r="C46" s="32">
        <v>162.78</v>
      </c>
      <c r="D46" s="32">
        <v>0</v>
      </c>
    </row>
    <row r="47" spans="1:4" x14ac:dyDescent="0.2">
      <c r="A47" s="30" t="s">
        <v>485</v>
      </c>
      <c r="B47" s="30" t="s">
        <v>486</v>
      </c>
      <c r="C47" s="32">
        <v>48.47</v>
      </c>
      <c r="D47" s="32">
        <v>0</v>
      </c>
    </row>
    <row r="48" spans="1:4" x14ac:dyDescent="0.2">
      <c r="A48" s="30" t="s">
        <v>487</v>
      </c>
      <c r="B48" s="30" t="s">
        <v>488</v>
      </c>
      <c r="C48" s="32">
        <v>6.46</v>
      </c>
      <c r="D48" s="32">
        <v>0</v>
      </c>
    </row>
    <row r="49" spans="1:4" x14ac:dyDescent="0.2">
      <c r="A49" s="30" t="s">
        <v>489</v>
      </c>
      <c r="B49" s="30" t="s">
        <v>490</v>
      </c>
      <c r="C49" s="32">
        <v>73232.240000000005</v>
      </c>
      <c r="D49" s="32">
        <v>0</v>
      </c>
    </row>
    <row r="50" spans="1:4" x14ac:dyDescent="0.2">
      <c r="A50" s="30" t="s">
        <v>491</v>
      </c>
      <c r="B50" s="30" t="s">
        <v>492</v>
      </c>
      <c r="C50" s="32">
        <v>-1402</v>
      </c>
      <c r="D50" s="32">
        <v>0</v>
      </c>
    </row>
    <row r="51" spans="1:4" x14ac:dyDescent="0.2">
      <c r="A51" s="30" t="s">
        <v>493</v>
      </c>
      <c r="B51" s="30" t="s">
        <v>494</v>
      </c>
      <c r="C51" s="32">
        <v>23.26</v>
      </c>
      <c r="D51" s="32">
        <v>0</v>
      </c>
    </row>
    <row r="52" spans="1:4" x14ac:dyDescent="0.2">
      <c r="A52" s="30" t="s">
        <v>495</v>
      </c>
      <c r="B52" s="30" t="s">
        <v>496</v>
      </c>
      <c r="C52" s="32">
        <v>0</v>
      </c>
      <c r="D52" s="32">
        <v>45243</v>
      </c>
    </row>
    <row r="53" spans="1:4" x14ac:dyDescent="0.2">
      <c r="A53" s="30" t="s">
        <v>497</v>
      </c>
      <c r="B53" s="30" t="s">
        <v>498</v>
      </c>
      <c r="C53" s="32">
        <v>0</v>
      </c>
      <c r="D53" s="32">
        <v>11240</v>
      </c>
    </row>
    <row r="54" spans="1:4" customFormat="1" ht="15" x14ac:dyDescent="0.25">
      <c r="A54" s="33"/>
      <c r="B54" s="33"/>
      <c r="C54" s="34"/>
      <c r="D54" s="34"/>
    </row>
    <row r="55" spans="1:4" x14ac:dyDescent="0.2">
      <c r="A55" s="30" t="s">
        <v>113</v>
      </c>
      <c r="B55" s="30" t="s">
        <v>499</v>
      </c>
      <c r="C55" s="32">
        <f>ROUND(SUBTOTAL(9, C2:C54), 5)</f>
        <v>1411164</v>
      </c>
      <c r="D55" s="32">
        <f>ROUND(SUBTOTAL(9, D2:D54), 5)</f>
        <v>1380296</v>
      </c>
    </row>
    <row r="56" spans="1:4" customFormat="1" ht="15" x14ac:dyDescent="0.25">
      <c r="A56" s="33"/>
      <c r="B56" s="33"/>
      <c r="C56" s="34"/>
      <c r="D56" s="34"/>
    </row>
    <row r="57" spans="1:4" x14ac:dyDescent="0.2">
      <c r="A57" s="26" t="s">
        <v>113</v>
      </c>
    </row>
    <row r="58" spans="1:4" x14ac:dyDescent="0.2">
      <c r="A58" s="30" t="s">
        <v>500</v>
      </c>
    </row>
    <row r="59" spans="1:4" x14ac:dyDescent="0.2">
      <c r="A59" s="30" t="s">
        <v>501</v>
      </c>
      <c r="B59" s="30" t="s">
        <v>502</v>
      </c>
      <c r="C59" s="32">
        <v>26583.71</v>
      </c>
      <c r="D59" s="32">
        <v>0</v>
      </c>
    </row>
    <row r="60" spans="1:4" x14ac:dyDescent="0.2">
      <c r="A60" s="30" t="s">
        <v>503</v>
      </c>
      <c r="B60" s="30" t="s">
        <v>504</v>
      </c>
      <c r="C60" s="32">
        <v>2009.73</v>
      </c>
      <c r="D60" s="32">
        <v>0</v>
      </c>
    </row>
    <row r="61" spans="1:4" x14ac:dyDescent="0.2">
      <c r="A61" s="30" t="s">
        <v>505</v>
      </c>
      <c r="B61" s="30" t="s">
        <v>506</v>
      </c>
      <c r="C61" s="32">
        <v>2541.54</v>
      </c>
      <c r="D61" s="32">
        <v>0</v>
      </c>
    </row>
    <row r="62" spans="1:4" x14ac:dyDescent="0.2">
      <c r="A62" s="30" t="s">
        <v>507</v>
      </c>
      <c r="B62" s="30" t="s">
        <v>150</v>
      </c>
      <c r="C62" s="32">
        <v>485.49</v>
      </c>
      <c r="D62" s="32">
        <v>0</v>
      </c>
    </row>
    <row r="63" spans="1:4" x14ac:dyDescent="0.2">
      <c r="A63" s="30" t="s">
        <v>508</v>
      </c>
      <c r="B63" s="30" t="s">
        <v>152</v>
      </c>
      <c r="C63" s="32">
        <v>1203.05</v>
      </c>
      <c r="D63" s="32">
        <v>0</v>
      </c>
    </row>
    <row r="64" spans="1:4" x14ac:dyDescent="0.2">
      <c r="A64" s="30" t="s">
        <v>117</v>
      </c>
      <c r="B64" s="30" t="s">
        <v>118</v>
      </c>
      <c r="C64" s="32">
        <v>317.13</v>
      </c>
      <c r="D64" s="32">
        <v>0</v>
      </c>
    </row>
    <row r="65" spans="1:4" x14ac:dyDescent="0.2">
      <c r="A65" s="30" t="s">
        <v>119</v>
      </c>
      <c r="B65" s="30" t="s">
        <v>120</v>
      </c>
      <c r="C65" s="32">
        <v>343.55</v>
      </c>
      <c r="D65" s="32">
        <v>0</v>
      </c>
    </row>
    <row r="66" spans="1:4" x14ac:dyDescent="0.2">
      <c r="A66" s="30" t="s">
        <v>121</v>
      </c>
      <c r="B66" s="30" t="s">
        <v>122</v>
      </c>
      <c r="C66" s="32">
        <v>213.8</v>
      </c>
      <c r="D66" s="32">
        <v>0</v>
      </c>
    </row>
    <row r="67" spans="1:4" x14ac:dyDescent="0.2">
      <c r="A67" s="30" t="s">
        <v>123</v>
      </c>
      <c r="B67" s="30" t="s">
        <v>124</v>
      </c>
      <c r="C67" s="32">
        <v>2488.12</v>
      </c>
      <c r="D67" s="32">
        <v>0</v>
      </c>
    </row>
    <row r="68" spans="1:4" x14ac:dyDescent="0.2">
      <c r="A68" s="30" t="s">
        <v>509</v>
      </c>
      <c r="B68" s="30" t="s">
        <v>162</v>
      </c>
      <c r="C68" s="32">
        <v>2952</v>
      </c>
      <c r="D68" s="32">
        <v>0</v>
      </c>
    </row>
    <row r="69" spans="1:4" x14ac:dyDescent="0.2">
      <c r="A69" s="30" t="s">
        <v>510</v>
      </c>
      <c r="B69" s="30" t="s">
        <v>166</v>
      </c>
      <c r="C69" s="32">
        <v>293.98</v>
      </c>
      <c r="D69" s="32">
        <v>0</v>
      </c>
    </row>
    <row r="70" spans="1:4" x14ac:dyDescent="0.2">
      <c r="A70" s="30" t="s">
        <v>125</v>
      </c>
      <c r="B70" s="30" t="s">
        <v>126</v>
      </c>
      <c r="C70" s="32">
        <v>18030.62</v>
      </c>
      <c r="D70" s="32">
        <v>9600</v>
      </c>
    </row>
    <row r="71" spans="1:4" x14ac:dyDescent="0.2">
      <c r="A71" s="30" t="s">
        <v>127</v>
      </c>
      <c r="B71" s="30" t="s">
        <v>128</v>
      </c>
      <c r="C71" s="32">
        <v>7562.09</v>
      </c>
      <c r="D71" s="32">
        <v>3000</v>
      </c>
    </row>
    <row r="72" spans="1:4" x14ac:dyDescent="0.2">
      <c r="A72" s="30" t="s">
        <v>129</v>
      </c>
      <c r="B72" s="30" t="s">
        <v>511</v>
      </c>
      <c r="C72" s="32">
        <v>325</v>
      </c>
      <c r="D72" s="32">
        <v>2150</v>
      </c>
    </row>
    <row r="73" spans="1:4" x14ac:dyDescent="0.2">
      <c r="A73" s="30" t="s">
        <v>512</v>
      </c>
      <c r="B73" s="30" t="s">
        <v>177</v>
      </c>
      <c r="C73" s="32">
        <v>856.71</v>
      </c>
      <c r="D73" s="32">
        <v>0</v>
      </c>
    </row>
    <row r="74" spans="1:4" x14ac:dyDescent="0.2">
      <c r="A74" s="30" t="s">
        <v>131</v>
      </c>
      <c r="B74" s="30" t="s">
        <v>132</v>
      </c>
      <c r="C74" s="32">
        <v>1260</v>
      </c>
      <c r="D74" s="32">
        <v>2000</v>
      </c>
    </row>
    <row r="75" spans="1:4" x14ac:dyDescent="0.2">
      <c r="A75" s="30" t="s">
        <v>137</v>
      </c>
      <c r="B75" s="30" t="s">
        <v>138</v>
      </c>
      <c r="C75" s="32">
        <v>51.27</v>
      </c>
      <c r="D75" s="32">
        <v>0</v>
      </c>
    </row>
    <row r="76" spans="1:4" x14ac:dyDescent="0.2">
      <c r="A76" s="30" t="s">
        <v>135</v>
      </c>
      <c r="B76" s="30" t="s">
        <v>136</v>
      </c>
      <c r="C76" s="32">
        <v>1650</v>
      </c>
      <c r="D76" s="32">
        <v>1000</v>
      </c>
    </row>
    <row r="77" spans="1:4" x14ac:dyDescent="0.2">
      <c r="A77" s="30" t="s">
        <v>141</v>
      </c>
      <c r="B77" s="30" t="s">
        <v>513</v>
      </c>
      <c r="C77" s="32">
        <v>163323.96</v>
      </c>
      <c r="D77" s="32">
        <v>510336</v>
      </c>
    </row>
    <row r="78" spans="1:4" x14ac:dyDescent="0.2">
      <c r="A78" s="30" t="s">
        <v>143</v>
      </c>
      <c r="B78" s="30" t="s">
        <v>514</v>
      </c>
      <c r="C78" s="32">
        <v>74.87</v>
      </c>
      <c r="D78" s="32">
        <v>2965</v>
      </c>
    </row>
    <row r="79" spans="1:4" x14ac:dyDescent="0.2">
      <c r="A79" s="30" t="s">
        <v>145</v>
      </c>
      <c r="B79" s="30" t="s">
        <v>504</v>
      </c>
      <c r="C79" s="32">
        <v>14837.5</v>
      </c>
      <c r="D79" s="32">
        <v>39041.040000000001</v>
      </c>
    </row>
    <row r="80" spans="1:4" x14ac:dyDescent="0.2">
      <c r="A80" s="30" t="s">
        <v>147</v>
      </c>
      <c r="B80" s="30" t="s">
        <v>506</v>
      </c>
      <c r="C80" s="32">
        <v>15614.66</v>
      </c>
      <c r="D80" s="32">
        <v>49829.04</v>
      </c>
    </row>
    <row r="81" spans="1:4" x14ac:dyDescent="0.2">
      <c r="A81" s="30" t="s">
        <v>149</v>
      </c>
      <c r="B81" s="30" t="s">
        <v>150</v>
      </c>
      <c r="C81" s="32">
        <v>2982.69</v>
      </c>
      <c r="D81" s="32">
        <v>7420</v>
      </c>
    </row>
    <row r="82" spans="1:4" x14ac:dyDescent="0.2">
      <c r="A82" s="30" t="s">
        <v>151</v>
      </c>
      <c r="B82" s="30" t="s">
        <v>152</v>
      </c>
      <c r="C82" s="32">
        <v>7391.23</v>
      </c>
      <c r="D82" s="32">
        <v>28488</v>
      </c>
    </row>
    <row r="83" spans="1:4" x14ac:dyDescent="0.2">
      <c r="A83" s="30" t="s">
        <v>153</v>
      </c>
      <c r="B83" s="30" t="s">
        <v>118</v>
      </c>
      <c r="C83" s="32">
        <v>1008.38</v>
      </c>
      <c r="D83" s="32">
        <v>6000</v>
      </c>
    </row>
    <row r="84" spans="1:4" x14ac:dyDescent="0.2">
      <c r="A84" s="30" t="s">
        <v>154</v>
      </c>
      <c r="B84" s="30" t="s">
        <v>120</v>
      </c>
      <c r="C84" s="32">
        <v>2110.67</v>
      </c>
      <c r="D84" s="32">
        <v>2335</v>
      </c>
    </row>
    <row r="85" spans="1:4" x14ac:dyDescent="0.2">
      <c r="A85" s="30" t="s">
        <v>155</v>
      </c>
      <c r="B85" s="30" t="s">
        <v>515</v>
      </c>
      <c r="C85" s="32">
        <v>0</v>
      </c>
      <c r="D85" s="32">
        <v>200</v>
      </c>
    </row>
    <row r="86" spans="1:4" x14ac:dyDescent="0.2">
      <c r="A86" s="30" t="s">
        <v>157</v>
      </c>
      <c r="B86" s="30" t="s">
        <v>122</v>
      </c>
      <c r="C86" s="32">
        <v>1313.52</v>
      </c>
      <c r="D86" s="32">
        <v>5000</v>
      </c>
    </row>
    <row r="87" spans="1:4" x14ac:dyDescent="0.2">
      <c r="A87" s="30" t="s">
        <v>159</v>
      </c>
      <c r="B87" s="30" t="s">
        <v>160</v>
      </c>
      <c r="C87" s="32">
        <v>1748.09</v>
      </c>
      <c r="D87" s="32">
        <v>5280</v>
      </c>
    </row>
    <row r="88" spans="1:4" x14ac:dyDescent="0.2">
      <c r="A88" s="30" t="s">
        <v>161</v>
      </c>
      <c r="B88" s="30" t="s">
        <v>162</v>
      </c>
      <c r="C88" s="32">
        <v>18676</v>
      </c>
      <c r="D88" s="32">
        <v>49200</v>
      </c>
    </row>
    <row r="89" spans="1:4" x14ac:dyDescent="0.2">
      <c r="A89" s="30" t="s">
        <v>163</v>
      </c>
      <c r="B89" s="30" t="s">
        <v>164</v>
      </c>
      <c r="C89" s="32">
        <v>1650</v>
      </c>
      <c r="D89" s="32">
        <v>1320</v>
      </c>
    </row>
    <row r="90" spans="1:4" x14ac:dyDescent="0.2">
      <c r="A90" s="30" t="s">
        <v>165</v>
      </c>
      <c r="B90" s="30" t="s">
        <v>166</v>
      </c>
      <c r="C90" s="32">
        <v>1806.12</v>
      </c>
      <c r="D90" s="32">
        <v>6500</v>
      </c>
    </row>
    <row r="91" spans="1:4" x14ac:dyDescent="0.2">
      <c r="A91" s="30" t="s">
        <v>167</v>
      </c>
      <c r="B91" s="30" t="s">
        <v>168</v>
      </c>
      <c r="C91" s="32">
        <v>1605.54</v>
      </c>
      <c r="D91" s="32">
        <v>2000</v>
      </c>
    </row>
    <row r="92" spans="1:4" x14ac:dyDescent="0.2">
      <c r="A92" s="30" t="s">
        <v>169</v>
      </c>
      <c r="B92" s="30" t="s">
        <v>170</v>
      </c>
      <c r="C92" s="32">
        <v>10383</v>
      </c>
      <c r="D92" s="32">
        <v>18100</v>
      </c>
    </row>
    <row r="93" spans="1:4" x14ac:dyDescent="0.2">
      <c r="A93" s="30" t="s">
        <v>174</v>
      </c>
      <c r="B93" s="30" t="s">
        <v>175</v>
      </c>
      <c r="C93" s="32">
        <v>300</v>
      </c>
      <c r="D93" s="32">
        <v>0</v>
      </c>
    </row>
    <row r="94" spans="1:4" x14ac:dyDescent="0.2">
      <c r="A94" s="30" t="s">
        <v>176</v>
      </c>
      <c r="B94" s="30" t="s">
        <v>177</v>
      </c>
      <c r="C94" s="32">
        <v>5263.43</v>
      </c>
      <c r="D94" s="32">
        <v>16500</v>
      </c>
    </row>
    <row r="95" spans="1:4" x14ac:dyDescent="0.2">
      <c r="A95" s="30" t="s">
        <v>178</v>
      </c>
      <c r="B95" s="30" t="s">
        <v>179</v>
      </c>
      <c r="C95" s="32">
        <v>3889.97</v>
      </c>
      <c r="D95" s="32">
        <v>5000</v>
      </c>
    </row>
    <row r="96" spans="1:4" x14ac:dyDescent="0.2">
      <c r="A96" s="30" t="s">
        <v>180</v>
      </c>
      <c r="B96" s="30" t="s">
        <v>516</v>
      </c>
      <c r="C96" s="32">
        <v>48654.26</v>
      </c>
      <c r="D96" s="32">
        <v>36572</v>
      </c>
    </row>
    <row r="97" spans="1:4" x14ac:dyDescent="0.2">
      <c r="A97" s="30" t="s">
        <v>182</v>
      </c>
      <c r="B97" s="30" t="s">
        <v>517</v>
      </c>
      <c r="C97" s="32">
        <v>12689.47</v>
      </c>
      <c r="D97" s="32">
        <v>2000</v>
      </c>
    </row>
    <row r="98" spans="1:4" x14ac:dyDescent="0.2">
      <c r="A98" s="30" t="s">
        <v>184</v>
      </c>
      <c r="B98" s="30" t="s">
        <v>138</v>
      </c>
      <c r="C98" s="32">
        <v>314.98</v>
      </c>
      <c r="D98" s="32">
        <v>3000</v>
      </c>
    </row>
    <row r="99" spans="1:4" x14ac:dyDescent="0.2">
      <c r="A99" s="30" t="s">
        <v>185</v>
      </c>
      <c r="B99" s="30" t="s">
        <v>518</v>
      </c>
      <c r="C99" s="32">
        <v>27981.57</v>
      </c>
      <c r="D99" s="32">
        <v>24573</v>
      </c>
    </row>
    <row r="100" spans="1:4" x14ac:dyDescent="0.2">
      <c r="A100" s="30" t="s">
        <v>188</v>
      </c>
      <c r="B100" s="30" t="s">
        <v>189</v>
      </c>
      <c r="C100" s="32">
        <v>2604.17</v>
      </c>
      <c r="D100" s="32">
        <v>2340</v>
      </c>
    </row>
    <row r="101" spans="1:4" x14ac:dyDescent="0.2">
      <c r="A101" s="30" t="s">
        <v>519</v>
      </c>
      <c r="B101" s="30" t="s">
        <v>520</v>
      </c>
      <c r="C101" s="32">
        <v>9023.33</v>
      </c>
      <c r="D101" s="32">
        <v>0</v>
      </c>
    </row>
    <row r="102" spans="1:4" x14ac:dyDescent="0.2">
      <c r="A102" s="30" t="s">
        <v>521</v>
      </c>
      <c r="B102" s="30" t="s">
        <v>504</v>
      </c>
      <c r="C102" s="32">
        <v>682.16</v>
      </c>
      <c r="D102" s="32">
        <v>0</v>
      </c>
    </row>
    <row r="103" spans="1:4" x14ac:dyDescent="0.2">
      <c r="A103" s="30" t="s">
        <v>522</v>
      </c>
      <c r="B103" s="30" t="s">
        <v>506</v>
      </c>
      <c r="C103" s="32">
        <v>862.68</v>
      </c>
      <c r="D103" s="32">
        <v>0</v>
      </c>
    </row>
    <row r="104" spans="1:4" x14ac:dyDescent="0.2">
      <c r="A104" s="30" t="s">
        <v>523</v>
      </c>
      <c r="B104" s="30" t="s">
        <v>150</v>
      </c>
      <c r="C104" s="32">
        <v>164.79</v>
      </c>
      <c r="D104" s="32">
        <v>0</v>
      </c>
    </row>
    <row r="105" spans="1:4" x14ac:dyDescent="0.2">
      <c r="A105" s="30" t="s">
        <v>524</v>
      </c>
      <c r="B105" s="30" t="s">
        <v>152</v>
      </c>
      <c r="C105" s="32">
        <v>408.35</v>
      </c>
      <c r="D105" s="32">
        <v>0</v>
      </c>
    </row>
    <row r="106" spans="1:4" x14ac:dyDescent="0.2">
      <c r="A106" s="30" t="s">
        <v>192</v>
      </c>
      <c r="B106" s="30" t="s">
        <v>118</v>
      </c>
      <c r="C106" s="32">
        <v>55.71</v>
      </c>
      <c r="D106" s="32">
        <v>0</v>
      </c>
    </row>
    <row r="107" spans="1:4" x14ac:dyDescent="0.2">
      <c r="A107" s="30" t="s">
        <v>193</v>
      </c>
      <c r="B107" s="30" t="s">
        <v>120</v>
      </c>
      <c r="C107" s="32">
        <v>116.61</v>
      </c>
      <c r="D107" s="32">
        <v>0</v>
      </c>
    </row>
    <row r="108" spans="1:4" x14ac:dyDescent="0.2">
      <c r="A108" s="30" t="s">
        <v>194</v>
      </c>
      <c r="B108" s="30" t="s">
        <v>122</v>
      </c>
      <c r="C108" s="32">
        <v>72.569999999999993</v>
      </c>
      <c r="D108" s="32">
        <v>0</v>
      </c>
    </row>
    <row r="109" spans="1:4" x14ac:dyDescent="0.2">
      <c r="A109" s="30" t="s">
        <v>525</v>
      </c>
      <c r="B109" s="30" t="s">
        <v>124</v>
      </c>
      <c r="C109" s="32">
        <v>81.45</v>
      </c>
      <c r="D109" s="32">
        <v>0</v>
      </c>
    </row>
    <row r="110" spans="1:4" x14ac:dyDescent="0.2">
      <c r="A110" s="30" t="s">
        <v>526</v>
      </c>
      <c r="B110" s="30" t="s">
        <v>162</v>
      </c>
      <c r="C110" s="32">
        <v>2230</v>
      </c>
      <c r="D110" s="32">
        <v>0</v>
      </c>
    </row>
    <row r="111" spans="1:4" x14ac:dyDescent="0.2">
      <c r="A111" s="30" t="s">
        <v>527</v>
      </c>
      <c r="B111" s="30" t="s">
        <v>166</v>
      </c>
      <c r="C111" s="32">
        <v>99.78</v>
      </c>
      <c r="D111" s="32">
        <v>0</v>
      </c>
    </row>
    <row r="112" spans="1:4" x14ac:dyDescent="0.2">
      <c r="A112" s="30" t="s">
        <v>195</v>
      </c>
      <c r="B112" s="30" t="s">
        <v>126</v>
      </c>
      <c r="C112" s="32">
        <v>373.03</v>
      </c>
      <c r="D112" s="32">
        <v>0</v>
      </c>
    </row>
    <row r="113" spans="1:4" x14ac:dyDescent="0.2">
      <c r="A113" s="30" t="s">
        <v>196</v>
      </c>
      <c r="B113" s="30" t="s">
        <v>197</v>
      </c>
      <c r="C113" s="32">
        <v>2311.23</v>
      </c>
      <c r="D113" s="32">
        <v>3025</v>
      </c>
    </row>
    <row r="114" spans="1:4" x14ac:dyDescent="0.2">
      <c r="A114" s="30" t="s">
        <v>528</v>
      </c>
      <c r="B114" s="30" t="s">
        <v>177</v>
      </c>
      <c r="C114" s="32">
        <v>290.79000000000002</v>
      </c>
      <c r="D114" s="32">
        <v>0</v>
      </c>
    </row>
    <row r="115" spans="1:4" x14ac:dyDescent="0.2">
      <c r="A115" s="30" t="s">
        <v>529</v>
      </c>
      <c r="B115" s="30" t="s">
        <v>138</v>
      </c>
      <c r="C115" s="32">
        <v>17.399999999999999</v>
      </c>
      <c r="D115" s="32">
        <v>0</v>
      </c>
    </row>
    <row r="116" spans="1:4" x14ac:dyDescent="0.2">
      <c r="A116" s="30" t="s">
        <v>204</v>
      </c>
      <c r="B116" s="30" t="s">
        <v>530</v>
      </c>
      <c r="C116" s="32">
        <v>5801.58</v>
      </c>
      <c r="D116" s="32">
        <v>5825</v>
      </c>
    </row>
    <row r="117" spans="1:4" x14ac:dyDescent="0.2">
      <c r="A117" s="30" t="s">
        <v>206</v>
      </c>
      <c r="B117" s="30" t="s">
        <v>134</v>
      </c>
      <c r="C117" s="32">
        <v>301</v>
      </c>
      <c r="D117" s="32">
        <v>2000</v>
      </c>
    </row>
    <row r="118" spans="1:4" x14ac:dyDescent="0.2">
      <c r="A118" s="30" t="s">
        <v>531</v>
      </c>
      <c r="B118" s="30" t="s">
        <v>532</v>
      </c>
      <c r="C118" s="32">
        <v>65922.02</v>
      </c>
      <c r="D118" s="32">
        <v>0</v>
      </c>
    </row>
    <row r="119" spans="1:4" x14ac:dyDescent="0.2">
      <c r="A119" s="30" t="s">
        <v>533</v>
      </c>
      <c r="B119" s="30" t="s">
        <v>504</v>
      </c>
      <c r="C119" s="32">
        <v>4452.8599999999997</v>
      </c>
      <c r="D119" s="32">
        <v>0</v>
      </c>
    </row>
    <row r="120" spans="1:4" x14ac:dyDescent="0.2">
      <c r="A120" s="30" t="s">
        <v>534</v>
      </c>
      <c r="B120" s="30" t="s">
        <v>506</v>
      </c>
      <c r="C120" s="32">
        <v>5631.17</v>
      </c>
      <c r="D120" s="32">
        <v>0</v>
      </c>
    </row>
    <row r="121" spans="1:4" x14ac:dyDescent="0.2">
      <c r="A121" s="30" t="s">
        <v>535</v>
      </c>
      <c r="B121" s="30" t="s">
        <v>150</v>
      </c>
      <c r="C121" s="32">
        <v>1075.67</v>
      </c>
      <c r="D121" s="32">
        <v>0</v>
      </c>
    </row>
    <row r="122" spans="1:4" x14ac:dyDescent="0.2">
      <c r="A122" s="30" t="s">
        <v>536</v>
      </c>
      <c r="B122" s="30" t="s">
        <v>152</v>
      </c>
      <c r="C122" s="32">
        <v>2665.53</v>
      </c>
      <c r="D122" s="32">
        <v>0</v>
      </c>
    </row>
    <row r="123" spans="1:4" x14ac:dyDescent="0.2">
      <c r="A123" s="30" t="s">
        <v>208</v>
      </c>
      <c r="B123" s="30" t="s">
        <v>118</v>
      </c>
      <c r="C123" s="32">
        <v>1201.9100000000001</v>
      </c>
      <c r="D123" s="32">
        <v>0</v>
      </c>
    </row>
    <row r="124" spans="1:4" x14ac:dyDescent="0.2">
      <c r="A124" s="30" t="s">
        <v>209</v>
      </c>
      <c r="B124" s="30" t="s">
        <v>120</v>
      </c>
      <c r="C124" s="32">
        <v>4694.55</v>
      </c>
      <c r="D124" s="32">
        <v>700</v>
      </c>
    </row>
    <row r="125" spans="1:4" x14ac:dyDescent="0.2">
      <c r="A125" s="30" t="s">
        <v>210</v>
      </c>
      <c r="B125" s="30" t="s">
        <v>122</v>
      </c>
      <c r="C125" s="32">
        <v>848.22</v>
      </c>
      <c r="D125" s="32">
        <v>700</v>
      </c>
    </row>
    <row r="126" spans="1:4" x14ac:dyDescent="0.2">
      <c r="A126" s="30" t="s">
        <v>537</v>
      </c>
      <c r="B126" s="30" t="s">
        <v>162</v>
      </c>
      <c r="C126" s="32">
        <v>3992.24</v>
      </c>
      <c r="D126" s="32">
        <v>0</v>
      </c>
    </row>
    <row r="127" spans="1:4" x14ac:dyDescent="0.2">
      <c r="A127" s="30" t="s">
        <v>538</v>
      </c>
      <c r="B127" s="30" t="s">
        <v>166</v>
      </c>
      <c r="C127" s="32">
        <v>651.35</v>
      </c>
      <c r="D127" s="32">
        <v>0</v>
      </c>
    </row>
    <row r="128" spans="1:4" x14ac:dyDescent="0.2">
      <c r="A128" s="30" t="s">
        <v>214</v>
      </c>
      <c r="B128" s="30" t="s">
        <v>126</v>
      </c>
      <c r="C128" s="32">
        <v>6159.85</v>
      </c>
      <c r="D128" s="32">
        <v>6000</v>
      </c>
    </row>
    <row r="129" spans="1:4" x14ac:dyDescent="0.2">
      <c r="A129" s="30" t="s">
        <v>212</v>
      </c>
      <c r="B129" s="30" t="s">
        <v>539</v>
      </c>
      <c r="C129" s="32">
        <v>4518.46</v>
      </c>
      <c r="D129" s="32">
        <v>2600</v>
      </c>
    </row>
    <row r="130" spans="1:4" x14ac:dyDescent="0.2">
      <c r="A130" s="30" t="s">
        <v>215</v>
      </c>
      <c r="B130" s="30" t="s">
        <v>216</v>
      </c>
      <c r="C130" s="32">
        <v>1228.28</v>
      </c>
      <c r="D130" s="32">
        <v>3000</v>
      </c>
    </row>
    <row r="131" spans="1:4" x14ac:dyDescent="0.2">
      <c r="A131" s="30" t="s">
        <v>217</v>
      </c>
      <c r="B131" s="30" t="s">
        <v>218</v>
      </c>
      <c r="C131" s="32">
        <v>916.63</v>
      </c>
      <c r="D131" s="32">
        <v>1500</v>
      </c>
    </row>
    <row r="132" spans="1:4" x14ac:dyDescent="0.2">
      <c r="A132" s="30" t="s">
        <v>219</v>
      </c>
      <c r="B132" s="30" t="s">
        <v>220</v>
      </c>
      <c r="C132" s="32">
        <v>7500</v>
      </c>
      <c r="D132" s="32">
        <v>7500</v>
      </c>
    </row>
    <row r="133" spans="1:4" x14ac:dyDescent="0.2">
      <c r="A133" s="30" t="s">
        <v>221</v>
      </c>
      <c r="B133" s="30" t="s">
        <v>222</v>
      </c>
      <c r="C133" s="32">
        <v>767</v>
      </c>
      <c r="D133" s="32">
        <v>2200</v>
      </c>
    </row>
    <row r="134" spans="1:4" x14ac:dyDescent="0.2">
      <c r="A134" s="30" t="s">
        <v>540</v>
      </c>
      <c r="B134" s="30" t="s">
        <v>177</v>
      </c>
      <c r="C134" s="32">
        <v>1898.17</v>
      </c>
      <c r="D134" s="32">
        <v>0</v>
      </c>
    </row>
    <row r="135" spans="1:4" x14ac:dyDescent="0.2">
      <c r="A135" s="30" t="s">
        <v>234</v>
      </c>
      <c r="B135" s="30" t="s">
        <v>413</v>
      </c>
      <c r="C135" s="32">
        <v>295.35000000000002</v>
      </c>
      <c r="D135" s="32">
        <v>500</v>
      </c>
    </row>
    <row r="136" spans="1:4" x14ac:dyDescent="0.2">
      <c r="A136" s="30" t="s">
        <v>223</v>
      </c>
      <c r="B136" s="30" t="s">
        <v>224</v>
      </c>
      <c r="C136" s="32">
        <v>10143</v>
      </c>
      <c r="D136" s="32">
        <v>8000</v>
      </c>
    </row>
    <row r="137" spans="1:4" x14ac:dyDescent="0.2">
      <c r="A137" s="30" t="s">
        <v>541</v>
      </c>
      <c r="B137" s="30" t="s">
        <v>138</v>
      </c>
      <c r="C137" s="32">
        <v>113.59</v>
      </c>
      <c r="D137" s="32">
        <v>0</v>
      </c>
    </row>
    <row r="138" spans="1:4" x14ac:dyDescent="0.2">
      <c r="A138" s="30" t="s">
        <v>225</v>
      </c>
      <c r="B138" s="30" t="s">
        <v>226</v>
      </c>
      <c r="C138" s="32">
        <v>21850</v>
      </c>
      <c r="D138" s="32">
        <v>21850</v>
      </c>
    </row>
    <row r="139" spans="1:4" x14ac:dyDescent="0.2">
      <c r="A139" s="30" t="s">
        <v>227</v>
      </c>
      <c r="B139" s="30" t="s">
        <v>203</v>
      </c>
      <c r="C139" s="32">
        <v>646.25</v>
      </c>
      <c r="D139" s="32">
        <v>1200</v>
      </c>
    </row>
    <row r="140" spans="1:4" x14ac:dyDescent="0.2">
      <c r="A140" s="30" t="s">
        <v>228</v>
      </c>
      <c r="B140" s="30" t="s">
        <v>542</v>
      </c>
      <c r="C140" s="32">
        <v>13783.69</v>
      </c>
      <c r="D140" s="32">
        <v>13677</v>
      </c>
    </row>
    <row r="141" spans="1:4" x14ac:dyDescent="0.2">
      <c r="A141" s="30" t="s">
        <v>243</v>
      </c>
      <c r="B141" s="30" t="s">
        <v>543</v>
      </c>
      <c r="C141" s="32">
        <v>17631.25</v>
      </c>
      <c r="D141" s="32">
        <v>20000</v>
      </c>
    </row>
    <row r="142" spans="1:4" x14ac:dyDescent="0.2">
      <c r="A142" s="30" t="s">
        <v>544</v>
      </c>
      <c r="B142" s="30" t="s">
        <v>545</v>
      </c>
      <c r="C142" s="32">
        <v>0</v>
      </c>
      <c r="D142" s="32">
        <v>2500</v>
      </c>
    </row>
    <row r="143" spans="1:4" x14ac:dyDescent="0.2">
      <c r="A143" s="30" t="s">
        <v>230</v>
      </c>
      <c r="B143" s="30" t="s">
        <v>231</v>
      </c>
      <c r="C143" s="32">
        <v>6926.43</v>
      </c>
      <c r="D143" s="32">
        <v>4920</v>
      </c>
    </row>
    <row r="144" spans="1:4" x14ac:dyDescent="0.2">
      <c r="A144" s="30" t="s">
        <v>232</v>
      </c>
      <c r="B144" s="30" t="s">
        <v>713</v>
      </c>
      <c r="C144" s="32">
        <v>0</v>
      </c>
      <c r="D144" s="32">
        <v>500</v>
      </c>
    </row>
    <row r="145" spans="1:4" x14ac:dyDescent="0.2">
      <c r="A145" s="30" t="s">
        <v>546</v>
      </c>
      <c r="B145" s="30" t="s">
        <v>547</v>
      </c>
      <c r="C145" s="32">
        <v>31925</v>
      </c>
      <c r="D145" s="32">
        <v>28300</v>
      </c>
    </row>
    <row r="146" spans="1:4" x14ac:dyDescent="0.2">
      <c r="A146" s="30" t="s">
        <v>235</v>
      </c>
      <c r="B146" s="30" t="s">
        <v>237</v>
      </c>
      <c r="C146" s="32">
        <v>3086.56</v>
      </c>
      <c r="D146" s="32">
        <v>4000</v>
      </c>
    </row>
    <row r="147" spans="1:4" x14ac:dyDescent="0.2">
      <c r="A147" s="30" t="s">
        <v>238</v>
      </c>
      <c r="B147" s="30" t="s">
        <v>239</v>
      </c>
      <c r="C147" s="32">
        <v>5536.2</v>
      </c>
      <c r="D147" s="32">
        <v>5960</v>
      </c>
    </row>
    <row r="148" spans="1:4" x14ac:dyDescent="0.2">
      <c r="A148" s="30" t="s">
        <v>240</v>
      </c>
      <c r="B148" s="30" t="s">
        <v>241</v>
      </c>
      <c r="C148" s="32">
        <v>12620.73</v>
      </c>
      <c r="D148" s="32">
        <v>14996</v>
      </c>
    </row>
    <row r="149" spans="1:4" x14ac:dyDescent="0.2">
      <c r="A149" s="30" t="s">
        <v>247</v>
      </c>
      <c r="B149" s="30" t="s">
        <v>248</v>
      </c>
      <c r="C149" s="32">
        <v>7407.15</v>
      </c>
      <c r="D149" s="32">
        <v>8300</v>
      </c>
    </row>
    <row r="150" spans="1:4" x14ac:dyDescent="0.2">
      <c r="A150" s="30" t="s">
        <v>254</v>
      </c>
      <c r="B150" s="30" t="s">
        <v>548</v>
      </c>
      <c r="C150" s="32">
        <v>31990.53</v>
      </c>
      <c r="D150" s="32">
        <v>32650</v>
      </c>
    </row>
    <row r="151" spans="1:4" x14ac:dyDescent="0.2">
      <c r="A151" s="30" t="s">
        <v>249</v>
      </c>
      <c r="B151" s="30" t="s">
        <v>549</v>
      </c>
      <c r="C151" s="32">
        <v>1164.1400000000001</v>
      </c>
      <c r="D151" s="32">
        <v>1200</v>
      </c>
    </row>
    <row r="152" spans="1:4" x14ac:dyDescent="0.2">
      <c r="A152" s="30" t="s">
        <v>550</v>
      </c>
      <c r="B152" s="30" t="s">
        <v>551</v>
      </c>
      <c r="C152" s="32">
        <v>2248.35</v>
      </c>
      <c r="D152" s="32">
        <v>1500</v>
      </c>
    </row>
    <row r="153" spans="1:4" x14ac:dyDescent="0.2">
      <c r="A153" s="30" t="s">
        <v>252</v>
      </c>
      <c r="B153" s="30" t="s">
        <v>552</v>
      </c>
      <c r="C153" s="32">
        <v>908.25</v>
      </c>
      <c r="D153" s="32">
        <v>2750</v>
      </c>
    </row>
    <row r="154" spans="1:4" x14ac:dyDescent="0.2">
      <c r="A154" s="30" t="s">
        <v>250</v>
      </c>
      <c r="B154" s="30" t="s">
        <v>251</v>
      </c>
      <c r="C154" s="32">
        <v>2262.1999999999998</v>
      </c>
      <c r="D154" s="32">
        <v>2700</v>
      </c>
    </row>
    <row r="155" spans="1:4" x14ac:dyDescent="0.2">
      <c r="A155" s="30" t="s">
        <v>256</v>
      </c>
      <c r="B155" s="30" t="s">
        <v>134</v>
      </c>
      <c r="C155" s="32">
        <v>12130</v>
      </c>
      <c r="D155" s="32">
        <v>0</v>
      </c>
    </row>
    <row r="156" spans="1:4" x14ac:dyDescent="0.2">
      <c r="A156" s="30" t="s">
        <v>258</v>
      </c>
      <c r="B156" s="30" t="s">
        <v>553</v>
      </c>
      <c r="C156" s="32">
        <v>0</v>
      </c>
      <c r="D156" s="32">
        <v>2000</v>
      </c>
    </row>
    <row r="157" spans="1:4" x14ac:dyDescent="0.2">
      <c r="A157" s="30" t="s">
        <v>266</v>
      </c>
      <c r="B157" s="30" t="s">
        <v>120</v>
      </c>
      <c r="C157" s="32">
        <v>2147</v>
      </c>
      <c r="D157" s="32">
        <v>5000</v>
      </c>
    </row>
    <row r="158" spans="1:4" x14ac:dyDescent="0.2">
      <c r="A158" s="30" t="s">
        <v>554</v>
      </c>
      <c r="B158" s="30" t="s">
        <v>124</v>
      </c>
      <c r="C158" s="32">
        <v>84.95</v>
      </c>
      <c r="D158" s="32">
        <v>0</v>
      </c>
    </row>
    <row r="159" spans="1:4" x14ac:dyDescent="0.2">
      <c r="A159" s="30" t="s">
        <v>555</v>
      </c>
      <c r="B159" s="30" t="s">
        <v>402</v>
      </c>
      <c r="C159" s="32">
        <v>60</v>
      </c>
      <c r="D159" s="32">
        <v>0</v>
      </c>
    </row>
    <row r="160" spans="1:4" x14ac:dyDescent="0.2">
      <c r="A160" s="30" t="s">
        <v>269</v>
      </c>
      <c r="B160" s="30" t="s">
        <v>242</v>
      </c>
      <c r="C160" s="32">
        <v>307.86</v>
      </c>
      <c r="D160" s="32">
        <v>4000</v>
      </c>
    </row>
    <row r="161" spans="1:4" x14ac:dyDescent="0.2">
      <c r="A161" s="30" t="s">
        <v>270</v>
      </c>
      <c r="B161" s="30" t="s">
        <v>556</v>
      </c>
      <c r="C161" s="32">
        <v>240</v>
      </c>
      <c r="D161" s="32">
        <v>350</v>
      </c>
    </row>
    <row r="162" spans="1:4" x14ac:dyDescent="0.2">
      <c r="A162" s="30" t="s">
        <v>272</v>
      </c>
      <c r="B162" s="30" t="s">
        <v>134</v>
      </c>
      <c r="C162" s="32">
        <v>3191.3</v>
      </c>
      <c r="D162" s="32">
        <v>2000</v>
      </c>
    </row>
    <row r="163" spans="1:4" x14ac:dyDescent="0.2">
      <c r="A163" s="30" t="s">
        <v>274</v>
      </c>
      <c r="B163" s="30" t="s">
        <v>126</v>
      </c>
      <c r="C163" s="32">
        <v>1643.88</v>
      </c>
      <c r="D163" s="32">
        <v>2400</v>
      </c>
    </row>
    <row r="164" spans="1:4" x14ac:dyDescent="0.2">
      <c r="A164" s="30" t="s">
        <v>275</v>
      </c>
      <c r="B164" s="30" t="s">
        <v>304</v>
      </c>
      <c r="C164" s="32">
        <v>3885.9</v>
      </c>
      <c r="D164" s="32">
        <v>3000</v>
      </c>
    </row>
    <row r="165" spans="1:4" x14ac:dyDescent="0.2">
      <c r="A165" s="30" t="s">
        <v>557</v>
      </c>
      <c r="B165" s="30" t="s">
        <v>558</v>
      </c>
      <c r="C165" s="32">
        <v>33185.58</v>
      </c>
      <c r="D165" s="32">
        <v>0</v>
      </c>
    </row>
    <row r="166" spans="1:4" x14ac:dyDescent="0.2">
      <c r="A166" s="30" t="s">
        <v>559</v>
      </c>
      <c r="B166" s="30" t="s">
        <v>504</v>
      </c>
      <c r="C166" s="32">
        <v>2508.83</v>
      </c>
      <c r="D166" s="32">
        <v>0</v>
      </c>
    </row>
    <row r="167" spans="1:4" x14ac:dyDescent="0.2">
      <c r="A167" s="30" t="s">
        <v>560</v>
      </c>
      <c r="B167" s="30" t="s">
        <v>506</v>
      </c>
      <c r="C167" s="32">
        <v>3172.71</v>
      </c>
      <c r="D167" s="32">
        <v>0</v>
      </c>
    </row>
    <row r="168" spans="1:4" x14ac:dyDescent="0.2">
      <c r="A168" s="30" t="s">
        <v>561</v>
      </c>
      <c r="B168" s="30" t="s">
        <v>150</v>
      </c>
      <c r="C168" s="32">
        <v>606.04999999999995</v>
      </c>
      <c r="D168" s="32">
        <v>0</v>
      </c>
    </row>
    <row r="169" spans="1:4" x14ac:dyDescent="0.2">
      <c r="A169" s="30" t="s">
        <v>562</v>
      </c>
      <c r="B169" s="30" t="s">
        <v>152</v>
      </c>
      <c r="C169" s="32">
        <v>1501.81</v>
      </c>
      <c r="D169" s="32">
        <v>0</v>
      </c>
    </row>
    <row r="170" spans="1:4" x14ac:dyDescent="0.2">
      <c r="A170" s="30" t="s">
        <v>278</v>
      </c>
      <c r="B170" s="30" t="s">
        <v>118</v>
      </c>
      <c r="C170" s="32">
        <v>318.24</v>
      </c>
      <c r="D170" s="32">
        <v>0</v>
      </c>
    </row>
    <row r="171" spans="1:4" x14ac:dyDescent="0.2">
      <c r="A171" s="30" t="s">
        <v>279</v>
      </c>
      <c r="B171" s="30" t="s">
        <v>120</v>
      </c>
      <c r="C171" s="32">
        <v>441.51</v>
      </c>
      <c r="D171" s="32">
        <v>0</v>
      </c>
    </row>
    <row r="172" spans="1:4" x14ac:dyDescent="0.2">
      <c r="A172" s="30" t="s">
        <v>280</v>
      </c>
      <c r="B172" s="30" t="s">
        <v>122</v>
      </c>
      <c r="C172" s="32">
        <v>266.89</v>
      </c>
      <c r="D172" s="32">
        <v>60</v>
      </c>
    </row>
    <row r="173" spans="1:4" x14ac:dyDescent="0.2">
      <c r="A173" s="30" t="s">
        <v>281</v>
      </c>
      <c r="B173" s="30" t="s">
        <v>124</v>
      </c>
      <c r="C173" s="32">
        <v>661.12</v>
      </c>
      <c r="D173" s="32">
        <v>0</v>
      </c>
    </row>
    <row r="174" spans="1:4" x14ac:dyDescent="0.2">
      <c r="A174" s="30" t="s">
        <v>563</v>
      </c>
      <c r="B174" s="30" t="s">
        <v>162</v>
      </c>
      <c r="C174" s="32">
        <v>2671.56</v>
      </c>
      <c r="D174" s="32">
        <v>0</v>
      </c>
    </row>
    <row r="175" spans="1:4" x14ac:dyDescent="0.2">
      <c r="A175" s="30" t="s">
        <v>564</v>
      </c>
      <c r="B175" s="30" t="s">
        <v>166</v>
      </c>
      <c r="C175" s="32">
        <v>366.98</v>
      </c>
      <c r="D175" s="32">
        <v>0</v>
      </c>
    </row>
    <row r="176" spans="1:4" x14ac:dyDescent="0.2">
      <c r="A176" s="30" t="s">
        <v>282</v>
      </c>
      <c r="B176" s="30" t="s">
        <v>126</v>
      </c>
      <c r="C176" s="32">
        <v>1733.33</v>
      </c>
      <c r="D176" s="32">
        <v>2000</v>
      </c>
    </row>
    <row r="177" spans="1:4" x14ac:dyDescent="0.2">
      <c r="A177" s="30" t="s">
        <v>283</v>
      </c>
      <c r="B177" s="30" t="s">
        <v>284</v>
      </c>
      <c r="C177" s="32">
        <v>880.3</v>
      </c>
      <c r="D177" s="32">
        <v>0</v>
      </c>
    </row>
    <row r="178" spans="1:4" x14ac:dyDescent="0.2">
      <c r="A178" s="30" t="s">
        <v>565</v>
      </c>
      <c r="B178" s="30" t="s">
        <v>177</v>
      </c>
      <c r="C178" s="32">
        <v>1069.47</v>
      </c>
      <c r="D178" s="32">
        <v>0</v>
      </c>
    </row>
    <row r="179" spans="1:4" x14ac:dyDescent="0.2">
      <c r="A179" s="30" t="s">
        <v>285</v>
      </c>
      <c r="B179" s="30" t="s">
        <v>179</v>
      </c>
      <c r="C179" s="32">
        <v>1089</v>
      </c>
      <c r="D179" s="32">
        <v>72</v>
      </c>
    </row>
    <row r="180" spans="1:4" x14ac:dyDescent="0.2">
      <c r="A180" s="30" t="s">
        <v>566</v>
      </c>
      <c r="B180" s="30" t="s">
        <v>138</v>
      </c>
      <c r="C180" s="32">
        <v>64</v>
      </c>
      <c r="D180" s="32">
        <v>0</v>
      </c>
    </row>
    <row r="181" spans="1:4" x14ac:dyDescent="0.2">
      <c r="A181" s="30" t="s">
        <v>286</v>
      </c>
      <c r="B181" s="30" t="s">
        <v>287</v>
      </c>
      <c r="C181" s="32">
        <v>996.25</v>
      </c>
      <c r="D181" s="32">
        <v>850</v>
      </c>
    </row>
    <row r="182" spans="1:4" x14ac:dyDescent="0.2">
      <c r="A182" s="30" t="s">
        <v>288</v>
      </c>
      <c r="B182" s="30" t="s">
        <v>289</v>
      </c>
      <c r="C182" s="32">
        <v>42429.38</v>
      </c>
      <c r="D182" s="32">
        <v>42250</v>
      </c>
    </row>
    <row r="183" spans="1:4" x14ac:dyDescent="0.2">
      <c r="A183" s="30" t="s">
        <v>290</v>
      </c>
      <c r="B183" s="30" t="s">
        <v>134</v>
      </c>
      <c r="C183" s="32">
        <v>14.23</v>
      </c>
      <c r="D183" s="32">
        <v>60</v>
      </c>
    </row>
    <row r="184" spans="1:4" x14ac:dyDescent="0.2">
      <c r="A184" s="30" t="s">
        <v>567</v>
      </c>
      <c r="B184" s="30" t="s">
        <v>568</v>
      </c>
      <c r="C184" s="32">
        <v>1591.12</v>
      </c>
      <c r="D184" s="32">
        <v>0</v>
      </c>
    </row>
    <row r="185" spans="1:4" x14ac:dyDescent="0.2">
      <c r="A185" s="30" t="s">
        <v>569</v>
      </c>
      <c r="B185" s="30" t="s">
        <v>504</v>
      </c>
      <c r="C185" s="32">
        <v>120.29</v>
      </c>
      <c r="D185" s="32">
        <v>0</v>
      </c>
    </row>
    <row r="186" spans="1:4" x14ac:dyDescent="0.2">
      <c r="A186" s="30" t="s">
        <v>570</v>
      </c>
      <c r="B186" s="30" t="s">
        <v>506</v>
      </c>
      <c r="C186" s="32">
        <v>152.12</v>
      </c>
      <c r="D186" s="32">
        <v>0</v>
      </c>
    </row>
    <row r="187" spans="1:4" x14ac:dyDescent="0.2">
      <c r="A187" s="30" t="s">
        <v>571</v>
      </c>
      <c r="B187" s="30" t="s">
        <v>150</v>
      </c>
      <c r="C187" s="32">
        <v>29.06</v>
      </c>
      <c r="D187" s="32">
        <v>0</v>
      </c>
    </row>
    <row r="188" spans="1:4" x14ac:dyDescent="0.2">
      <c r="A188" s="30" t="s">
        <v>572</v>
      </c>
      <c r="B188" s="30" t="s">
        <v>152</v>
      </c>
      <c r="C188" s="32">
        <v>72.010000000000005</v>
      </c>
      <c r="D188" s="32">
        <v>0</v>
      </c>
    </row>
    <row r="189" spans="1:4" x14ac:dyDescent="0.2">
      <c r="A189" s="30" t="s">
        <v>292</v>
      </c>
      <c r="B189" s="30" t="s">
        <v>118</v>
      </c>
      <c r="C189" s="32">
        <v>9.82</v>
      </c>
      <c r="D189" s="32">
        <v>0</v>
      </c>
    </row>
    <row r="190" spans="1:4" x14ac:dyDescent="0.2">
      <c r="A190" s="30" t="s">
        <v>293</v>
      </c>
      <c r="B190" s="30" t="s">
        <v>120</v>
      </c>
      <c r="C190" s="32">
        <v>20.56</v>
      </c>
      <c r="D190" s="32">
        <v>0</v>
      </c>
    </row>
    <row r="191" spans="1:4" x14ac:dyDescent="0.2">
      <c r="A191" s="30" t="s">
        <v>294</v>
      </c>
      <c r="B191" s="30" t="s">
        <v>122</v>
      </c>
      <c r="C191" s="32">
        <v>12.8</v>
      </c>
      <c r="D191" s="32">
        <v>0</v>
      </c>
    </row>
    <row r="192" spans="1:4" x14ac:dyDescent="0.2">
      <c r="A192" s="30" t="s">
        <v>573</v>
      </c>
      <c r="B192" s="30" t="s">
        <v>166</v>
      </c>
      <c r="C192" s="32">
        <v>17.600000000000001</v>
      </c>
      <c r="D192" s="32">
        <v>0</v>
      </c>
    </row>
    <row r="193" spans="1:4" x14ac:dyDescent="0.2">
      <c r="A193" s="30" t="s">
        <v>574</v>
      </c>
      <c r="B193" s="30" t="s">
        <v>177</v>
      </c>
      <c r="C193" s="32">
        <v>51.28</v>
      </c>
      <c r="D193" s="32">
        <v>0</v>
      </c>
    </row>
    <row r="194" spans="1:4" x14ac:dyDescent="0.2">
      <c r="A194" s="30" t="s">
        <v>575</v>
      </c>
      <c r="B194" s="30" t="s">
        <v>138</v>
      </c>
      <c r="C194" s="32">
        <v>3.07</v>
      </c>
      <c r="D194" s="32">
        <v>0</v>
      </c>
    </row>
    <row r="195" spans="1:4" x14ac:dyDescent="0.2">
      <c r="A195" s="30" t="s">
        <v>306</v>
      </c>
      <c r="B195" s="30" t="s">
        <v>126</v>
      </c>
      <c r="C195" s="32">
        <v>0</v>
      </c>
      <c r="D195" s="32">
        <v>1200</v>
      </c>
    </row>
    <row r="196" spans="1:4" x14ac:dyDescent="0.2">
      <c r="A196" s="30" t="s">
        <v>309</v>
      </c>
      <c r="B196" s="30" t="s">
        <v>126</v>
      </c>
      <c r="C196" s="32">
        <v>79.790000000000006</v>
      </c>
      <c r="D196" s="32">
        <v>0</v>
      </c>
    </row>
    <row r="197" spans="1:4" x14ac:dyDescent="0.2">
      <c r="A197" s="30" t="s">
        <v>576</v>
      </c>
      <c r="B197" s="30" t="s">
        <v>577</v>
      </c>
      <c r="C197" s="32">
        <v>35236.519999999997</v>
      </c>
      <c r="D197" s="32">
        <v>0</v>
      </c>
    </row>
    <row r="198" spans="1:4" x14ac:dyDescent="0.2">
      <c r="A198" s="30" t="s">
        <v>578</v>
      </c>
      <c r="B198" s="30" t="s">
        <v>504</v>
      </c>
      <c r="C198" s="32">
        <v>2663.88</v>
      </c>
      <c r="D198" s="32">
        <v>0</v>
      </c>
    </row>
    <row r="199" spans="1:4" x14ac:dyDescent="0.2">
      <c r="A199" s="30" t="s">
        <v>579</v>
      </c>
      <c r="B199" s="30" t="s">
        <v>506</v>
      </c>
      <c r="C199" s="32">
        <v>3368.79</v>
      </c>
      <c r="D199" s="32">
        <v>0</v>
      </c>
    </row>
    <row r="200" spans="1:4" x14ac:dyDescent="0.2">
      <c r="A200" s="30" t="s">
        <v>580</v>
      </c>
      <c r="B200" s="30" t="s">
        <v>150</v>
      </c>
      <c r="C200" s="32">
        <v>643.51</v>
      </c>
      <c r="D200" s="32">
        <v>0</v>
      </c>
    </row>
    <row r="201" spans="1:4" x14ac:dyDescent="0.2">
      <c r="A201" s="30" t="s">
        <v>581</v>
      </c>
      <c r="B201" s="30" t="s">
        <v>152</v>
      </c>
      <c r="C201" s="32">
        <v>1594.63</v>
      </c>
      <c r="D201" s="32">
        <v>0</v>
      </c>
    </row>
    <row r="202" spans="1:4" x14ac:dyDescent="0.2">
      <c r="A202" s="30" t="s">
        <v>311</v>
      </c>
      <c r="B202" s="30" t="s">
        <v>118</v>
      </c>
      <c r="C202" s="32">
        <v>287.33</v>
      </c>
      <c r="D202" s="32">
        <v>150</v>
      </c>
    </row>
    <row r="203" spans="1:4" x14ac:dyDescent="0.2">
      <c r="A203" s="30" t="s">
        <v>312</v>
      </c>
      <c r="B203" s="30" t="s">
        <v>120</v>
      </c>
      <c r="C203" s="32">
        <v>455.37</v>
      </c>
      <c r="D203" s="32">
        <v>1320</v>
      </c>
    </row>
    <row r="204" spans="1:4" x14ac:dyDescent="0.2">
      <c r="A204" s="30" t="s">
        <v>313</v>
      </c>
      <c r="B204" s="30" t="s">
        <v>122</v>
      </c>
      <c r="C204" s="32">
        <v>283.39</v>
      </c>
      <c r="D204" s="32">
        <v>60</v>
      </c>
    </row>
    <row r="205" spans="1:4" x14ac:dyDescent="0.2">
      <c r="A205" s="30" t="s">
        <v>314</v>
      </c>
      <c r="B205" s="30" t="s">
        <v>160</v>
      </c>
      <c r="C205" s="32">
        <f>775.37+32.58</f>
        <v>807.95</v>
      </c>
      <c r="D205" s="32">
        <v>534</v>
      </c>
    </row>
    <row r="206" spans="1:4" x14ac:dyDescent="0.2">
      <c r="A206" s="30" t="s">
        <v>582</v>
      </c>
      <c r="B206" s="30" t="s">
        <v>162</v>
      </c>
      <c r="C206" s="32">
        <v>3099</v>
      </c>
      <c r="D206" s="32">
        <v>0</v>
      </c>
    </row>
    <row r="207" spans="1:4" x14ac:dyDescent="0.2">
      <c r="A207" s="30" t="s">
        <v>583</v>
      </c>
      <c r="B207" s="30" t="s">
        <v>166</v>
      </c>
      <c r="C207" s="32">
        <v>389.66</v>
      </c>
      <c r="D207" s="32">
        <v>0</v>
      </c>
    </row>
    <row r="208" spans="1:4" x14ac:dyDescent="0.2">
      <c r="A208" s="30" t="s">
        <v>315</v>
      </c>
      <c r="B208" s="30" t="s">
        <v>126</v>
      </c>
      <c r="C208" s="32">
        <v>564.78</v>
      </c>
      <c r="D208" s="32">
        <v>2700</v>
      </c>
    </row>
    <row r="209" spans="1:4" x14ac:dyDescent="0.2">
      <c r="A209" s="30" t="s">
        <v>584</v>
      </c>
      <c r="B209" s="30" t="s">
        <v>585</v>
      </c>
      <c r="C209" s="32">
        <v>0</v>
      </c>
      <c r="D209" s="32">
        <v>1250</v>
      </c>
    </row>
    <row r="210" spans="1:4" x14ac:dyDescent="0.2">
      <c r="A210" s="30" t="s">
        <v>586</v>
      </c>
      <c r="B210" s="30" t="s">
        <v>177</v>
      </c>
      <c r="C210" s="32">
        <v>1135.56</v>
      </c>
      <c r="D210" s="32">
        <v>0</v>
      </c>
    </row>
    <row r="211" spans="1:4" x14ac:dyDescent="0.2">
      <c r="A211" s="30" t="s">
        <v>318</v>
      </c>
      <c r="B211" s="30" t="s">
        <v>413</v>
      </c>
      <c r="C211" s="32">
        <v>419.5</v>
      </c>
      <c r="D211" s="32">
        <v>588</v>
      </c>
    </row>
    <row r="212" spans="1:4" x14ac:dyDescent="0.2">
      <c r="A212" s="30" t="s">
        <v>320</v>
      </c>
      <c r="B212" s="30" t="s">
        <v>517</v>
      </c>
      <c r="C212" s="32">
        <v>0</v>
      </c>
      <c r="D212" s="32">
        <v>200</v>
      </c>
    </row>
    <row r="213" spans="1:4" x14ac:dyDescent="0.2">
      <c r="A213" s="30" t="s">
        <v>587</v>
      </c>
      <c r="B213" s="30" t="s">
        <v>224</v>
      </c>
      <c r="C213" s="32">
        <v>77</v>
      </c>
      <c r="D213" s="32">
        <v>50</v>
      </c>
    </row>
    <row r="214" spans="1:4" x14ac:dyDescent="0.2">
      <c r="A214" s="30" t="s">
        <v>588</v>
      </c>
      <c r="B214" s="30" t="s">
        <v>138</v>
      </c>
      <c r="C214" s="32">
        <v>67.95</v>
      </c>
      <c r="D214" s="32">
        <v>0</v>
      </c>
    </row>
    <row r="215" spans="1:4" x14ac:dyDescent="0.2">
      <c r="A215" s="30" t="s">
        <v>589</v>
      </c>
      <c r="B215" s="30" t="s">
        <v>590</v>
      </c>
      <c r="C215" s="32">
        <v>0</v>
      </c>
      <c r="D215" s="32">
        <v>640</v>
      </c>
    </row>
    <row r="216" spans="1:4" x14ac:dyDescent="0.2">
      <c r="A216" s="30" t="s">
        <v>322</v>
      </c>
      <c r="B216" s="30" t="s">
        <v>134</v>
      </c>
      <c r="C216" s="32">
        <v>871.01</v>
      </c>
      <c r="D216" s="32">
        <v>370</v>
      </c>
    </row>
    <row r="217" spans="1:4" x14ac:dyDescent="0.2">
      <c r="A217" s="30" t="s">
        <v>591</v>
      </c>
      <c r="B217" s="30" t="s">
        <v>160</v>
      </c>
      <c r="C217" s="32">
        <v>32.58</v>
      </c>
      <c r="D217" s="32">
        <v>0</v>
      </c>
    </row>
    <row r="218" spans="1:4" x14ac:dyDescent="0.2">
      <c r="A218" s="30" t="s">
        <v>592</v>
      </c>
      <c r="B218" s="30" t="s">
        <v>593</v>
      </c>
      <c r="C218" s="32">
        <v>882.06</v>
      </c>
      <c r="D218" s="32">
        <v>0</v>
      </c>
    </row>
    <row r="219" spans="1:4" x14ac:dyDescent="0.2">
      <c r="A219" s="30" t="s">
        <v>594</v>
      </c>
      <c r="B219" s="30" t="s">
        <v>595</v>
      </c>
      <c r="C219" s="32">
        <v>66.680000000000007</v>
      </c>
      <c r="D219" s="32">
        <v>0</v>
      </c>
    </row>
    <row r="220" spans="1:4" x14ac:dyDescent="0.2">
      <c r="A220" s="30" t="s">
        <v>596</v>
      </c>
      <c r="B220" s="30" t="s">
        <v>597</v>
      </c>
      <c r="C220" s="32">
        <v>84.33</v>
      </c>
      <c r="D220" s="32">
        <v>0</v>
      </c>
    </row>
    <row r="221" spans="1:4" x14ac:dyDescent="0.2">
      <c r="A221" s="30" t="s">
        <v>598</v>
      </c>
      <c r="B221" s="30" t="s">
        <v>150</v>
      </c>
      <c r="C221" s="32">
        <v>16.11</v>
      </c>
      <c r="D221" s="32">
        <v>0</v>
      </c>
    </row>
    <row r="222" spans="1:4" x14ac:dyDescent="0.2">
      <c r="A222" s="30" t="s">
        <v>599</v>
      </c>
      <c r="B222" s="30" t="s">
        <v>152</v>
      </c>
      <c r="C222" s="32">
        <v>39.92</v>
      </c>
      <c r="D222" s="32">
        <v>0</v>
      </c>
    </row>
    <row r="223" spans="1:4" x14ac:dyDescent="0.2">
      <c r="A223" s="30" t="s">
        <v>600</v>
      </c>
      <c r="B223" s="30" t="s">
        <v>118</v>
      </c>
      <c r="C223" s="32">
        <v>5.45</v>
      </c>
      <c r="D223" s="32">
        <v>0</v>
      </c>
    </row>
    <row r="224" spans="1:4" x14ac:dyDescent="0.2">
      <c r="A224" s="30" t="s">
        <v>601</v>
      </c>
      <c r="B224" s="30" t="s">
        <v>120</v>
      </c>
      <c r="C224" s="32">
        <v>11.4</v>
      </c>
      <c r="D224" s="32">
        <v>0</v>
      </c>
    </row>
    <row r="225" spans="1:4" x14ac:dyDescent="0.2">
      <c r="A225" s="30" t="s">
        <v>602</v>
      </c>
      <c r="B225" s="30" t="s">
        <v>122</v>
      </c>
      <c r="C225" s="32">
        <v>7.09</v>
      </c>
      <c r="D225" s="32">
        <v>0</v>
      </c>
    </row>
    <row r="226" spans="1:4" x14ac:dyDescent="0.2">
      <c r="A226" s="30" t="s">
        <v>603</v>
      </c>
      <c r="B226" s="30" t="s">
        <v>160</v>
      </c>
      <c r="C226" s="32">
        <v>65.16</v>
      </c>
      <c r="D226" s="32">
        <v>0</v>
      </c>
    </row>
    <row r="227" spans="1:4" x14ac:dyDescent="0.2">
      <c r="A227" s="30" t="s">
        <v>604</v>
      </c>
      <c r="B227" s="30" t="s">
        <v>166</v>
      </c>
      <c r="C227" s="32">
        <v>9.75</v>
      </c>
      <c r="D227" s="32">
        <v>0</v>
      </c>
    </row>
    <row r="228" spans="1:4" x14ac:dyDescent="0.2">
      <c r="A228" s="30" t="s">
        <v>605</v>
      </c>
      <c r="B228" s="30" t="s">
        <v>177</v>
      </c>
      <c r="C228" s="32">
        <v>28.43</v>
      </c>
      <c r="D228" s="32">
        <v>0</v>
      </c>
    </row>
    <row r="229" spans="1:4" x14ac:dyDescent="0.2">
      <c r="A229" s="30" t="s">
        <v>606</v>
      </c>
      <c r="B229" s="30" t="s">
        <v>138</v>
      </c>
      <c r="C229" s="32">
        <v>1.7</v>
      </c>
      <c r="D229" s="32">
        <v>0</v>
      </c>
    </row>
    <row r="230" spans="1:4" x14ac:dyDescent="0.2">
      <c r="A230" s="30" t="s">
        <v>607</v>
      </c>
      <c r="B230" s="30" t="s">
        <v>608</v>
      </c>
      <c r="C230" s="32">
        <v>2241.5500000000002</v>
      </c>
      <c r="D230" s="32">
        <v>0</v>
      </c>
    </row>
    <row r="231" spans="1:4" x14ac:dyDescent="0.2">
      <c r="A231" s="30" t="s">
        <v>609</v>
      </c>
      <c r="B231" s="30" t="s">
        <v>504</v>
      </c>
      <c r="C231" s="32">
        <v>169.46</v>
      </c>
      <c r="D231" s="32">
        <v>0</v>
      </c>
    </row>
    <row r="232" spans="1:4" x14ac:dyDescent="0.2">
      <c r="A232" s="30" t="s">
        <v>610</v>
      </c>
      <c r="B232" s="30" t="s">
        <v>597</v>
      </c>
      <c r="C232" s="32">
        <v>214.3</v>
      </c>
      <c r="D232" s="32">
        <v>0</v>
      </c>
    </row>
    <row r="233" spans="1:4" x14ac:dyDescent="0.2">
      <c r="A233" s="30" t="s">
        <v>611</v>
      </c>
      <c r="B233" s="30" t="s">
        <v>612</v>
      </c>
      <c r="C233" s="32">
        <v>40.94</v>
      </c>
      <c r="D233" s="32">
        <v>0</v>
      </c>
    </row>
    <row r="234" spans="1:4" x14ac:dyDescent="0.2">
      <c r="A234" s="30" t="s">
        <v>613</v>
      </c>
      <c r="B234" s="30" t="s">
        <v>152</v>
      </c>
      <c r="C234" s="32">
        <v>101.44</v>
      </c>
      <c r="D234" s="32">
        <v>0</v>
      </c>
    </row>
    <row r="235" spans="1:4" x14ac:dyDescent="0.2">
      <c r="A235" s="30" t="s">
        <v>614</v>
      </c>
      <c r="B235" s="30" t="s">
        <v>118</v>
      </c>
      <c r="C235" s="32">
        <v>13.84</v>
      </c>
      <c r="D235" s="32">
        <v>0</v>
      </c>
    </row>
    <row r="236" spans="1:4" x14ac:dyDescent="0.2">
      <c r="A236" s="30" t="s">
        <v>615</v>
      </c>
      <c r="B236" s="30" t="s">
        <v>120</v>
      </c>
      <c r="C236" s="32">
        <v>28.97</v>
      </c>
      <c r="D236" s="32">
        <v>0</v>
      </c>
    </row>
    <row r="237" spans="1:4" x14ac:dyDescent="0.2">
      <c r="A237" s="30" t="s">
        <v>616</v>
      </c>
      <c r="B237" s="30" t="s">
        <v>122</v>
      </c>
      <c r="C237" s="32">
        <v>18.03</v>
      </c>
      <c r="D237" s="32">
        <v>0</v>
      </c>
    </row>
    <row r="238" spans="1:4" x14ac:dyDescent="0.2">
      <c r="A238" s="30" t="s">
        <v>617</v>
      </c>
      <c r="B238" s="30" t="s">
        <v>160</v>
      </c>
      <c r="C238" s="32">
        <v>130.33000000000001</v>
      </c>
      <c r="D238" s="32">
        <v>0</v>
      </c>
    </row>
    <row r="239" spans="1:4" x14ac:dyDescent="0.2">
      <c r="A239" s="30" t="s">
        <v>618</v>
      </c>
      <c r="B239" s="30" t="s">
        <v>166</v>
      </c>
      <c r="C239" s="32">
        <v>24.79</v>
      </c>
      <c r="D239" s="32">
        <v>0</v>
      </c>
    </row>
    <row r="240" spans="1:4" x14ac:dyDescent="0.2">
      <c r="A240" s="30" t="s">
        <v>619</v>
      </c>
      <c r="B240" s="30" t="s">
        <v>177</v>
      </c>
      <c r="C240" s="32">
        <v>72.239999999999995</v>
      </c>
      <c r="D240" s="32">
        <v>0</v>
      </c>
    </row>
    <row r="241" spans="1:4" x14ac:dyDescent="0.2">
      <c r="A241" s="30" t="s">
        <v>620</v>
      </c>
      <c r="B241" s="30" t="s">
        <v>138</v>
      </c>
      <c r="C241" s="32">
        <v>4.32</v>
      </c>
      <c r="D241" s="32">
        <v>0</v>
      </c>
    </row>
    <row r="242" spans="1:4" x14ac:dyDescent="0.2">
      <c r="A242" s="30" t="s">
        <v>335</v>
      </c>
      <c r="B242" s="30" t="s">
        <v>126</v>
      </c>
      <c r="C242" s="32">
        <v>1026.6199999999999</v>
      </c>
      <c r="D242" s="32">
        <v>1400</v>
      </c>
    </row>
    <row r="243" spans="1:4" x14ac:dyDescent="0.2">
      <c r="A243" s="30" t="s">
        <v>336</v>
      </c>
      <c r="B243" s="30" t="s">
        <v>621</v>
      </c>
      <c r="C243" s="32">
        <v>323.16000000000003</v>
      </c>
      <c r="D243" s="32">
        <v>0</v>
      </c>
    </row>
    <row r="244" spans="1:4" x14ac:dyDescent="0.2">
      <c r="A244" s="30" t="s">
        <v>337</v>
      </c>
      <c r="B244" s="30" t="s">
        <v>304</v>
      </c>
      <c r="C244" s="32">
        <v>915</v>
      </c>
      <c r="D244" s="32">
        <v>0</v>
      </c>
    </row>
    <row r="245" spans="1:4" x14ac:dyDescent="0.2">
      <c r="A245" s="30" t="s">
        <v>622</v>
      </c>
      <c r="B245" s="30" t="s">
        <v>623</v>
      </c>
      <c r="C245" s="32">
        <v>32705.3</v>
      </c>
      <c r="D245" s="32">
        <v>0</v>
      </c>
    </row>
    <row r="246" spans="1:4" x14ac:dyDescent="0.2">
      <c r="A246" s="30" t="s">
        <v>624</v>
      </c>
      <c r="B246" s="30" t="s">
        <v>504</v>
      </c>
      <c r="C246" s="32">
        <v>2472.52</v>
      </c>
      <c r="D246" s="32">
        <v>0</v>
      </c>
    </row>
    <row r="247" spans="1:4" x14ac:dyDescent="0.2">
      <c r="A247" s="30" t="s">
        <v>625</v>
      </c>
      <c r="B247" s="30" t="s">
        <v>506</v>
      </c>
      <c r="C247" s="32">
        <v>3126.77</v>
      </c>
      <c r="D247" s="32">
        <v>0</v>
      </c>
    </row>
    <row r="248" spans="1:4" x14ac:dyDescent="0.2">
      <c r="A248" s="30" t="s">
        <v>626</v>
      </c>
      <c r="B248" s="30" t="s">
        <v>150</v>
      </c>
      <c r="C248" s="32">
        <v>597.28</v>
      </c>
      <c r="D248" s="32">
        <v>0</v>
      </c>
    </row>
    <row r="249" spans="1:4" x14ac:dyDescent="0.2">
      <c r="A249" s="30" t="s">
        <v>627</v>
      </c>
      <c r="B249" s="30" t="s">
        <v>152</v>
      </c>
      <c r="C249" s="32">
        <v>1480.07</v>
      </c>
      <c r="D249" s="32">
        <v>0</v>
      </c>
    </row>
    <row r="250" spans="1:4" x14ac:dyDescent="0.2">
      <c r="A250" s="30" t="s">
        <v>339</v>
      </c>
      <c r="B250" s="30" t="s">
        <v>118</v>
      </c>
      <c r="C250" s="32">
        <v>215.01</v>
      </c>
      <c r="D250" s="32">
        <v>0</v>
      </c>
    </row>
    <row r="251" spans="1:4" x14ac:dyDescent="0.2">
      <c r="A251" s="30" t="s">
        <v>340</v>
      </c>
      <c r="B251" s="30" t="s">
        <v>120</v>
      </c>
      <c r="C251" s="32">
        <v>569.71</v>
      </c>
      <c r="D251" s="32">
        <v>0</v>
      </c>
    </row>
    <row r="252" spans="1:4" x14ac:dyDescent="0.2">
      <c r="A252" s="30" t="s">
        <v>341</v>
      </c>
      <c r="B252" s="30" t="s">
        <v>122</v>
      </c>
      <c r="C252" s="32">
        <v>399.2</v>
      </c>
      <c r="D252" s="32">
        <v>0</v>
      </c>
    </row>
    <row r="253" spans="1:4" x14ac:dyDescent="0.2">
      <c r="A253" s="30" t="s">
        <v>628</v>
      </c>
      <c r="B253" s="30" t="s">
        <v>124</v>
      </c>
      <c r="C253" s="32">
        <v>162.91</v>
      </c>
      <c r="D253" s="32">
        <v>0</v>
      </c>
    </row>
    <row r="254" spans="1:4" x14ac:dyDescent="0.2">
      <c r="A254" s="30" t="s">
        <v>629</v>
      </c>
      <c r="B254" s="30" t="s">
        <v>162</v>
      </c>
      <c r="C254" s="32">
        <v>5904</v>
      </c>
      <c r="D254" s="32">
        <v>0</v>
      </c>
    </row>
    <row r="255" spans="1:4" x14ac:dyDescent="0.2">
      <c r="A255" s="30" t="s">
        <v>630</v>
      </c>
      <c r="B255" s="30" t="s">
        <v>166</v>
      </c>
      <c r="C255" s="32">
        <v>361.67</v>
      </c>
      <c r="D255" s="32">
        <v>0</v>
      </c>
    </row>
    <row r="256" spans="1:4" x14ac:dyDescent="0.2">
      <c r="A256" s="30" t="s">
        <v>342</v>
      </c>
      <c r="B256" s="30" t="s">
        <v>126</v>
      </c>
      <c r="C256" s="32">
        <f>15537.16-2789.16</f>
        <v>12748</v>
      </c>
      <c r="D256" s="32">
        <v>11000</v>
      </c>
    </row>
    <row r="257" spans="1:4" x14ac:dyDescent="0.2">
      <c r="A257" s="30" t="s">
        <v>343</v>
      </c>
      <c r="B257" s="30" t="s">
        <v>344</v>
      </c>
      <c r="C257" s="32">
        <f>14195.96-2789.15</f>
        <v>11406.81</v>
      </c>
      <c r="D257" s="32">
        <v>18000</v>
      </c>
    </row>
    <row r="258" spans="1:4" x14ac:dyDescent="0.2">
      <c r="A258" s="30" t="s">
        <v>345</v>
      </c>
      <c r="B258" s="30" t="s">
        <v>346</v>
      </c>
      <c r="C258" s="32">
        <v>8959.94</v>
      </c>
      <c r="D258" s="32">
        <v>9900</v>
      </c>
    </row>
    <row r="259" spans="1:4" x14ac:dyDescent="0.2">
      <c r="A259" s="30" t="s">
        <v>631</v>
      </c>
      <c r="B259" s="30" t="s">
        <v>177</v>
      </c>
      <c r="C259" s="32">
        <v>1053.98</v>
      </c>
      <c r="D259" s="32">
        <v>0</v>
      </c>
    </row>
    <row r="260" spans="1:4" x14ac:dyDescent="0.2">
      <c r="A260" s="30" t="s">
        <v>632</v>
      </c>
      <c r="B260" s="30" t="s">
        <v>138</v>
      </c>
      <c r="C260" s="32">
        <v>63.07</v>
      </c>
      <c r="D260" s="32">
        <v>0</v>
      </c>
    </row>
    <row r="261" spans="1:4" x14ac:dyDescent="0.2">
      <c r="A261" s="30" t="s">
        <v>347</v>
      </c>
      <c r="B261" s="30" t="s">
        <v>203</v>
      </c>
      <c r="C261" s="32">
        <v>193.43</v>
      </c>
      <c r="D261" s="32">
        <v>550</v>
      </c>
    </row>
    <row r="262" spans="1:4" x14ac:dyDescent="0.2">
      <c r="A262" s="30" t="s">
        <v>348</v>
      </c>
      <c r="B262" s="30" t="s">
        <v>349</v>
      </c>
      <c r="C262" s="32">
        <v>918.15</v>
      </c>
      <c r="D262" s="32">
        <v>3550</v>
      </c>
    </row>
    <row r="263" spans="1:4" x14ac:dyDescent="0.2">
      <c r="A263" s="30" t="s">
        <v>87</v>
      </c>
      <c r="B263" s="30" t="s">
        <v>712</v>
      </c>
      <c r="C263" s="32">
        <v>0</v>
      </c>
      <c r="D263" s="32">
        <v>5000</v>
      </c>
    </row>
    <row r="264" spans="1:4" x14ac:dyDescent="0.2">
      <c r="A264" s="30" t="s">
        <v>622</v>
      </c>
      <c r="B264" s="30" t="s">
        <v>633</v>
      </c>
      <c r="C264" s="32">
        <v>3888.99</v>
      </c>
      <c r="D264" s="32">
        <v>0</v>
      </c>
    </row>
    <row r="265" spans="1:4" x14ac:dyDescent="0.2">
      <c r="A265" s="30" t="s">
        <v>634</v>
      </c>
      <c r="B265" s="30" t="s">
        <v>504</v>
      </c>
      <c r="C265" s="32">
        <v>294.01</v>
      </c>
      <c r="D265" s="32">
        <v>0</v>
      </c>
    </row>
    <row r="266" spans="1:4" x14ac:dyDescent="0.2">
      <c r="A266" s="30" t="s">
        <v>635</v>
      </c>
      <c r="B266" s="30" t="s">
        <v>506</v>
      </c>
      <c r="C266" s="32">
        <v>371.81</v>
      </c>
      <c r="D266" s="32">
        <v>0</v>
      </c>
    </row>
    <row r="267" spans="1:4" x14ac:dyDescent="0.2">
      <c r="A267" s="30" t="s">
        <v>636</v>
      </c>
      <c r="B267" s="30" t="s">
        <v>150</v>
      </c>
      <c r="C267" s="32">
        <v>71.02</v>
      </c>
      <c r="D267" s="32">
        <v>0</v>
      </c>
    </row>
    <row r="268" spans="1:4" x14ac:dyDescent="0.2">
      <c r="A268" s="30" t="s">
        <v>637</v>
      </c>
      <c r="B268" s="30" t="s">
        <v>152</v>
      </c>
      <c r="C268" s="32">
        <v>176</v>
      </c>
      <c r="D268" s="32">
        <v>0</v>
      </c>
    </row>
    <row r="269" spans="1:4" x14ac:dyDescent="0.2">
      <c r="A269" s="30" t="s">
        <v>638</v>
      </c>
      <c r="B269" s="30" t="s">
        <v>118</v>
      </c>
      <c r="C269" s="32">
        <v>24.01</v>
      </c>
      <c r="D269" s="32">
        <v>0</v>
      </c>
    </row>
    <row r="270" spans="1:4" x14ac:dyDescent="0.2">
      <c r="A270" s="30" t="s">
        <v>351</v>
      </c>
      <c r="B270" s="30" t="s">
        <v>120</v>
      </c>
      <c r="C270" s="32">
        <v>50.26</v>
      </c>
      <c r="D270" s="32">
        <v>0</v>
      </c>
    </row>
    <row r="271" spans="1:4" x14ac:dyDescent="0.2">
      <c r="A271" s="30" t="s">
        <v>352</v>
      </c>
      <c r="B271" s="30" t="s">
        <v>122</v>
      </c>
      <c r="C271" s="32">
        <v>31.28</v>
      </c>
      <c r="D271" s="32">
        <v>0</v>
      </c>
    </row>
    <row r="272" spans="1:4" x14ac:dyDescent="0.2">
      <c r="A272" s="30" t="s">
        <v>639</v>
      </c>
      <c r="B272" s="30" t="s">
        <v>166</v>
      </c>
      <c r="C272" s="32">
        <v>43.01</v>
      </c>
      <c r="D272" s="32">
        <v>0</v>
      </c>
    </row>
    <row r="273" spans="1:4" x14ac:dyDescent="0.2">
      <c r="A273" s="30" t="s">
        <v>354</v>
      </c>
      <c r="B273" s="30" t="s">
        <v>126</v>
      </c>
      <c r="C273" s="32">
        <v>1858.73</v>
      </c>
      <c r="D273" s="32">
        <v>1500</v>
      </c>
    </row>
    <row r="274" spans="1:4" x14ac:dyDescent="0.2">
      <c r="A274" s="30" t="s">
        <v>355</v>
      </c>
      <c r="B274" s="30" t="s">
        <v>356</v>
      </c>
      <c r="C274" s="32">
        <v>4931.17</v>
      </c>
      <c r="D274" s="32">
        <v>5000</v>
      </c>
    </row>
    <row r="275" spans="1:4" x14ac:dyDescent="0.2">
      <c r="A275" s="30" t="s">
        <v>357</v>
      </c>
      <c r="B275" s="30" t="s">
        <v>640</v>
      </c>
      <c r="C275" s="32">
        <v>4811.8599999999997</v>
      </c>
      <c r="D275" s="32">
        <v>9500</v>
      </c>
    </row>
    <row r="276" spans="1:4" x14ac:dyDescent="0.2">
      <c r="A276" s="30" t="s">
        <v>358</v>
      </c>
      <c r="B276" s="30" t="s">
        <v>359</v>
      </c>
      <c r="C276" s="32">
        <v>20000</v>
      </c>
      <c r="D276" s="32">
        <v>20000</v>
      </c>
    </row>
    <row r="277" spans="1:4" x14ac:dyDescent="0.2">
      <c r="A277" s="30" t="s">
        <v>641</v>
      </c>
      <c r="B277" s="30" t="s">
        <v>642</v>
      </c>
      <c r="C277" s="32">
        <v>0</v>
      </c>
      <c r="D277" s="32">
        <v>9800</v>
      </c>
    </row>
    <row r="278" spans="1:4" x14ac:dyDescent="0.2">
      <c r="A278" s="30" t="s">
        <v>360</v>
      </c>
      <c r="B278" s="30" t="s">
        <v>344</v>
      </c>
      <c r="C278" s="32">
        <v>6266.33</v>
      </c>
      <c r="D278" s="32">
        <v>0</v>
      </c>
    </row>
    <row r="279" spans="1:4" x14ac:dyDescent="0.2">
      <c r="A279" s="30" t="s">
        <v>361</v>
      </c>
      <c r="B279" s="30" t="s">
        <v>362</v>
      </c>
      <c r="C279" s="32">
        <v>41042.43</v>
      </c>
      <c r="D279" s="32">
        <v>30000</v>
      </c>
    </row>
    <row r="280" spans="1:4" x14ac:dyDescent="0.2">
      <c r="A280" s="30" t="s">
        <v>643</v>
      </c>
      <c r="B280" s="30" t="s">
        <v>177</v>
      </c>
      <c r="C280" s="32">
        <v>125.33</v>
      </c>
      <c r="D280" s="32">
        <v>0</v>
      </c>
    </row>
    <row r="281" spans="1:4" x14ac:dyDescent="0.2">
      <c r="A281" s="30" t="s">
        <v>644</v>
      </c>
      <c r="B281" s="30" t="s">
        <v>138</v>
      </c>
      <c r="C281" s="32">
        <v>7.5</v>
      </c>
      <c r="D281" s="32">
        <v>0</v>
      </c>
    </row>
    <row r="282" spans="1:4" x14ac:dyDescent="0.2">
      <c r="A282" s="30" t="s">
        <v>363</v>
      </c>
      <c r="B282" s="30" t="s">
        <v>645</v>
      </c>
      <c r="C282" s="32">
        <v>0</v>
      </c>
      <c r="D282" s="32">
        <v>3000</v>
      </c>
    </row>
    <row r="283" spans="1:4" x14ac:dyDescent="0.2">
      <c r="A283" s="30" t="s">
        <v>646</v>
      </c>
      <c r="B283" s="30" t="s">
        <v>647</v>
      </c>
      <c r="C283" s="32">
        <v>10241.52</v>
      </c>
      <c r="D283" s="32">
        <v>0</v>
      </c>
    </row>
    <row r="284" spans="1:4" x14ac:dyDescent="0.2">
      <c r="A284" s="30" t="s">
        <v>648</v>
      </c>
      <c r="B284" s="30" t="s">
        <v>504</v>
      </c>
      <c r="C284" s="32">
        <v>774.26</v>
      </c>
      <c r="D284" s="32">
        <v>0</v>
      </c>
    </row>
    <row r="285" spans="1:4" x14ac:dyDescent="0.2">
      <c r="A285" s="30" t="s">
        <v>649</v>
      </c>
      <c r="B285" s="30" t="s">
        <v>506</v>
      </c>
      <c r="C285" s="32">
        <v>979.14</v>
      </c>
      <c r="D285" s="32">
        <v>0</v>
      </c>
    </row>
    <row r="286" spans="1:4" x14ac:dyDescent="0.2">
      <c r="A286" s="30" t="s">
        <v>650</v>
      </c>
      <c r="B286" s="30" t="s">
        <v>150</v>
      </c>
      <c r="C286" s="32">
        <v>187.04</v>
      </c>
      <c r="D286" s="32">
        <v>0</v>
      </c>
    </row>
    <row r="287" spans="1:4" x14ac:dyDescent="0.2">
      <c r="A287" s="30" t="s">
        <v>651</v>
      </c>
      <c r="B287" s="30" t="s">
        <v>152</v>
      </c>
      <c r="C287" s="32">
        <v>463.48</v>
      </c>
      <c r="D287" s="32">
        <v>0</v>
      </c>
    </row>
    <row r="288" spans="1:4" x14ac:dyDescent="0.2">
      <c r="A288" s="30" t="s">
        <v>366</v>
      </c>
      <c r="B288" s="30" t="s">
        <v>118</v>
      </c>
      <c r="C288" s="32">
        <v>63.23</v>
      </c>
      <c r="D288" s="32">
        <v>210</v>
      </c>
    </row>
    <row r="289" spans="1:4" x14ac:dyDescent="0.2">
      <c r="A289" s="30" t="s">
        <v>367</v>
      </c>
      <c r="B289" s="30" t="s">
        <v>120</v>
      </c>
      <c r="C289" s="32">
        <v>132.35</v>
      </c>
      <c r="D289" s="32">
        <v>0</v>
      </c>
    </row>
    <row r="290" spans="1:4" x14ac:dyDescent="0.2">
      <c r="A290" s="30" t="s">
        <v>368</v>
      </c>
      <c r="B290" s="30" t="s">
        <v>122</v>
      </c>
      <c r="C290" s="32">
        <v>82.37</v>
      </c>
      <c r="D290" s="32">
        <v>0</v>
      </c>
    </row>
    <row r="291" spans="1:4" x14ac:dyDescent="0.2">
      <c r="A291" s="30" t="s">
        <v>652</v>
      </c>
      <c r="B291" s="30" t="s">
        <v>166</v>
      </c>
      <c r="C291" s="32">
        <v>113.26</v>
      </c>
      <c r="D291" s="32">
        <v>0</v>
      </c>
    </row>
    <row r="292" spans="1:4" x14ac:dyDescent="0.2">
      <c r="A292" s="30" t="s">
        <v>370</v>
      </c>
      <c r="B292" s="30" t="s">
        <v>346</v>
      </c>
      <c r="C292" s="32">
        <v>11240</v>
      </c>
      <c r="D292" s="32">
        <v>12650</v>
      </c>
    </row>
    <row r="293" spans="1:4" x14ac:dyDescent="0.2">
      <c r="A293" s="30" t="s">
        <v>371</v>
      </c>
      <c r="B293" s="30" t="s">
        <v>653</v>
      </c>
      <c r="C293" s="32">
        <v>0</v>
      </c>
      <c r="D293" s="32">
        <v>750</v>
      </c>
    </row>
    <row r="294" spans="1:4" x14ac:dyDescent="0.2">
      <c r="A294" s="30" t="s">
        <v>654</v>
      </c>
      <c r="B294" s="30" t="s">
        <v>177</v>
      </c>
      <c r="C294" s="32">
        <v>330.05</v>
      </c>
      <c r="D294" s="32">
        <v>0</v>
      </c>
    </row>
    <row r="295" spans="1:4" x14ac:dyDescent="0.2">
      <c r="A295" s="30" t="s">
        <v>373</v>
      </c>
      <c r="B295" s="30" t="s">
        <v>655</v>
      </c>
      <c r="C295" s="32">
        <v>2595</v>
      </c>
      <c r="D295" s="32">
        <v>1685</v>
      </c>
    </row>
    <row r="296" spans="1:4" x14ac:dyDescent="0.2">
      <c r="A296" s="30" t="s">
        <v>656</v>
      </c>
      <c r="B296" s="30" t="s">
        <v>138</v>
      </c>
      <c r="C296" s="32">
        <v>19.75</v>
      </c>
      <c r="D296" s="32">
        <v>0</v>
      </c>
    </row>
    <row r="297" spans="1:4" x14ac:dyDescent="0.2">
      <c r="A297" s="30" t="s">
        <v>657</v>
      </c>
      <c r="B297" s="30" t="s">
        <v>160</v>
      </c>
      <c r="C297" s="32">
        <v>39.42</v>
      </c>
      <c r="D297" s="32">
        <v>0</v>
      </c>
    </row>
    <row r="298" spans="1:4" x14ac:dyDescent="0.2">
      <c r="A298" s="30" t="s">
        <v>377</v>
      </c>
      <c r="B298" s="30" t="s">
        <v>120</v>
      </c>
      <c r="C298" s="32">
        <v>783</v>
      </c>
      <c r="D298" s="32">
        <v>4000</v>
      </c>
    </row>
    <row r="299" spans="1:4" x14ac:dyDescent="0.2">
      <c r="A299" s="30" t="s">
        <v>380</v>
      </c>
      <c r="B299" s="30" t="s">
        <v>381</v>
      </c>
      <c r="C299" s="32">
        <v>0</v>
      </c>
      <c r="D299" s="32">
        <v>3360</v>
      </c>
    </row>
    <row r="300" spans="1:4" x14ac:dyDescent="0.2">
      <c r="A300" s="30" t="s">
        <v>382</v>
      </c>
      <c r="B300" s="30" t="s">
        <v>134</v>
      </c>
      <c r="C300" s="32">
        <v>1849.88</v>
      </c>
      <c r="D300" s="32">
        <v>3000</v>
      </c>
    </row>
    <row r="301" spans="1:4" x14ac:dyDescent="0.2">
      <c r="A301" s="30" t="s">
        <v>658</v>
      </c>
      <c r="B301" s="30" t="s">
        <v>659</v>
      </c>
      <c r="C301" s="32">
        <v>68994.399999999994</v>
      </c>
      <c r="D301" s="32">
        <v>0</v>
      </c>
    </row>
    <row r="302" spans="1:4" x14ac:dyDescent="0.2">
      <c r="A302" s="30" t="s">
        <v>660</v>
      </c>
      <c r="B302" s="30" t="s">
        <v>504</v>
      </c>
      <c r="C302" s="32">
        <v>4695.24</v>
      </c>
      <c r="D302" s="32">
        <v>0</v>
      </c>
    </row>
    <row r="303" spans="1:4" x14ac:dyDescent="0.2">
      <c r="A303" s="30" t="s">
        <v>661</v>
      </c>
      <c r="B303" s="30" t="s">
        <v>506</v>
      </c>
      <c r="C303" s="32">
        <v>5937.69</v>
      </c>
      <c r="D303" s="32">
        <v>0</v>
      </c>
    </row>
    <row r="304" spans="1:4" x14ac:dyDescent="0.2">
      <c r="A304" s="30" t="s">
        <v>662</v>
      </c>
      <c r="B304" s="30" t="s">
        <v>150</v>
      </c>
      <c r="C304" s="32">
        <v>1134.22</v>
      </c>
      <c r="D304" s="32">
        <v>0</v>
      </c>
    </row>
    <row r="305" spans="1:4" x14ac:dyDescent="0.2">
      <c r="A305" s="30" t="s">
        <v>663</v>
      </c>
      <c r="B305" s="30" t="s">
        <v>152</v>
      </c>
      <c r="C305" s="32">
        <v>2810.62</v>
      </c>
      <c r="D305" s="32">
        <v>0</v>
      </c>
    </row>
    <row r="306" spans="1:4" x14ac:dyDescent="0.2">
      <c r="A306" s="30" t="s">
        <v>384</v>
      </c>
      <c r="B306" s="30" t="s">
        <v>118</v>
      </c>
      <c r="C306" s="32">
        <v>666.38</v>
      </c>
      <c r="D306" s="32">
        <v>0</v>
      </c>
    </row>
    <row r="307" spans="1:4" x14ac:dyDescent="0.2">
      <c r="A307" s="30" t="s">
        <v>386</v>
      </c>
      <c r="B307" s="30" t="s">
        <v>120</v>
      </c>
      <c r="C307" s="32">
        <v>6814.28</v>
      </c>
      <c r="D307" s="32">
        <v>4600</v>
      </c>
    </row>
    <row r="308" spans="1:4" x14ac:dyDescent="0.2">
      <c r="A308" s="30" t="s">
        <v>387</v>
      </c>
      <c r="B308" s="30" t="s">
        <v>122</v>
      </c>
      <c r="C308" s="32">
        <v>499.48</v>
      </c>
      <c r="D308" s="32">
        <v>0</v>
      </c>
    </row>
    <row r="309" spans="1:4" x14ac:dyDescent="0.2">
      <c r="A309" s="30" t="s">
        <v>388</v>
      </c>
      <c r="B309" s="30" t="s">
        <v>124</v>
      </c>
      <c r="C309" s="32">
        <v>460.66</v>
      </c>
      <c r="D309" s="32">
        <v>0</v>
      </c>
    </row>
    <row r="310" spans="1:4" x14ac:dyDescent="0.2">
      <c r="A310" s="30" t="s">
        <v>664</v>
      </c>
      <c r="B310" s="30" t="s">
        <v>166</v>
      </c>
      <c r="C310" s="32">
        <v>686.81</v>
      </c>
      <c r="D310" s="32">
        <v>0</v>
      </c>
    </row>
    <row r="311" spans="1:4" x14ac:dyDescent="0.2">
      <c r="A311" s="30" t="s">
        <v>385</v>
      </c>
      <c r="B311" s="30" t="s">
        <v>621</v>
      </c>
      <c r="C311" s="32">
        <v>12</v>
      </c>
      <c r="D311" s="32">
        <v>0</v>
      </c>
    </row>
    <row r="312" spans="1:4" x14ac:dyDescent="0.2">
      <c r="A312" s="30" t="s">
        <v>665</v>
      </c>
      <c r="B312" s="30" t="s">
        <v>177</v>
      </c>
      <c r="C312" s="32">
        <v>2001.5</v>
      </c>
      <c r="D312" s="32">
        <v>0</v>
      </c>
    </row>
    <row r="313" spans="1:4" x14ac:dyDescent="0.2">
      <c r="A313" s="30" t="s">
        <v>666</v>
      </c>
      <c r="B313" s="30" t="s">
        <v>138</v>
      </c>
      <c r="C313" s="32">
        <v>119.77</v>
      </c>
      <c r="D313" s="32">
        <v>0</v>
      </c>
    </row>
    <row r="314" spans="1:4" x14ac:dyDescent="0.2">
      <c r="A314" s="30" t="s">
        <v>389</v>
      </c>
      <c r="B314" s="30" t="s">
        <v>381</v>
      </c>
      <c r="C314" s="32">
        <v>1150</v>
      </c>
      <c r="D314" s="32">
        <v>3000</v>
      </c>
    </row>
    <row r="315" spans="1:4" x14ac:dyDescent="0.2">
      <c r="A315" s="30" t="s">
        <v>390</v>
      </c>
      <c r="B315" s="30" t="s">
        <v>391</v>
      </c>
      <c r="C315" s="32">
        <v>300</v>
      </c>
      <c r="D315" s="32">
        <v>0</v>
      </c>
    </row>
    <row r="316" spans="1:4" x14ac:dyDescent="0.2">
      <c r="A316" s="30" t="s">
        <v>667</v>
      </c>
      <c r="B316" s="30" t="s">
        <v>134</v>
      </c>
      <c r="C316" s="32">
        <v>1801.01</v>
      </c>
      <c r="D316" s="32">
        <v>2000</v>
      </c>
    </row>
    <row r="317" spans="1:4" x14ac:dyDescent="0.2">
      <c r="A317" s="30" t="s">
        <v>668</v>
      </c>
      <c r="B317" s="30" t="s">
        <v>669</v>
      </c>
      <c r="C317" s="32">
        <v>45551.82</v>
      </c>
      <c r="D317" s="32">
        <v>0</v>
      </c>
    </row>
    <row r="318" spans="1:4" x14ac:dyDescent="0.2">
      <c r="A318" s="30" t="s">
        <v>670</v>
      </c>
      <c r="B318" s="30" t="s">
        <v>504</v>
      </c>
      <c r="C318" s="32">
        <v>3443.72</v>
      </c>
      <c r="D318" s="32">
        <v>0</v>
      </c>
    </row>
    <row r="319" spans="1:4" x14ac:dyDescent="0.2">
      <c r="A319" s="30" t="s">
        <v>671</v>
      </c>
      <c r="B319" s="30" t="s">
        <v>506</v>
      </c>
      <c r="C319" s="32">
        <v>4354.99</v>
      </c>
      <c r="D319" s="32">
        <v>0</v>
      </c>
    </row>
    <row r="320" spans="1:4" x14ac:dyDescent="0.2">
      <c r="A320" s="30" t="s">
        <v>672</v>
      </c>
      <c r="B320" s="30" t="s">
        <v>150</v>
      </c>
      <c r="C320" s="32">
        <v>831.89</v>
      </c>
      <c r="D320" s="32">
        <v>0</v>
      </c>
    </row>
    <row r="321" spans="1:4" x14ac:dyDescent="0.2">
      <c r="A321" s="30" t="s">
        <v>673</v>
      </c>
      <c r="B321" s="30" t="s">
        <v>152</v>
      </c>
      <c r="C321" s="32">
        <v>2061.4499999999998</v>
      </c>
      <c r="D321" s="32">
        <v>0</v>
      </c>
    </row>
    <row r="322" spans="1:4" x14ac:dyDescent="0.2">
      <c r="A322" s="30" t="s">
        <v>393</v>
      </c>
      <c r="B322" s="30" t="s">
        <v>118</v>
      </c>
      <c r="C322" s="32">
        <v>512.01</v>
      </c>
      <c r="D322" s="32">
        <v>0</v>
      </c>
    </row>
    <row r="323" spans="1:4" x14ac:dyDescent="0.2">
      <c r="A323" s="30" t="s">
        <v>394</v>
      </c>
      <c r="B323" s="30" t="s">
        <v>120</v>
      </c>
      <c r="C323" s="32">
        <v>2656.15</v>
      </c>
      <c r="D323" s="32">
        <v>1750</v>
      </c>
    </row>
    <row r="324" spans="1:4" x14ac:dyDescent="0.2">
      <c r="A324" s="30" t="s">
        <v>395</v>
      </c>
      <c r="B324" s="30" t="s">
        <v>122</v>
      </c>
      <c r="C324" s="32">
        <v>366.35</v>
      </c>
      <c r="D324" s="32">
        <v>0</v>
      </c>
    </row>
    <row r="325" spans="1:4" x14ac:dyDescent="0.2">
      <c r="A325" s="30" t="s">
        <v>674</v>
      </c>
      <c r="B325" s="30" t="s">
        <v>675</v>
      </c>
      <c r="C325" s="32">
        <v>803.53</v>
      </c>
      <c r="D325" s="32">
        <v>0</v>
      </c>
    </row>
    <row r="326" spans="1:4" x14ac:dyDescent="0.2">
      <c r="A326" s="30" t="s">
        <v>676</v>
      </c>
      <c r="B326" s="30" t="s">
        <v>124</v>
      </c>
      <c r="C326" s="32">
        <v>162.91</v>
      </c>
      <c r="D326" s="32">
        <v>0</v>
      </c>
    </row>
    <row r="327" spans="1:4" x14ac:dyDescent="0.2">
      <c r="A327" s="30" t="s">
        <v>677</v>
      </c>
      <c r="B327" s="30" t="s">
        <v>166</v>
      </c>
      <c r="C327" s="32">
        <v>503.74</v>
      </c>
      <c r="D327" s="32">
        <v>0</v>
      </c>
    </row>
    <row r="328" spans="1:4" x14ac:dyDescent="0.2">
      <c r="A328" s="30" t="s">
        <v>398</v>
      </c>
      <c r="B328" s="30" t="s">
        <v>126</v>
      </c>
      <c r="C328" s="32">
        <v>3043.37</v>
      </c>
      <c r="D328" s="32">
        <v>2000</v>
      </c>
    </row>
    <row r="329" spans="1:4" x14ac:dyDescent="0.2">
      <c r="A329" s="30" t="s">
        <v>678</v>
      </c>
      <c r="B329" s="30" t="s">
        <v>177</v>
      </c>
      <c r="C329" s="32">
        <v>1467.99</v>
      </c>
      <c r="D329" s="32">
        <v>0</v>
      </c>
    </row>
    <row r="330" spans="1:4" x14ac:dyDescent="0.2">
      <c r="A330" s="30" t="s">
        <v>399</v>
      </c>
      <c r="B330" s="30" t="s">
        <v>179</v>
      </c>
      <c r="C330" s="32">
        <v>586.22</v>
      </c>
      <c r="D330" s="32">
        <v>0</v>
      </c>
    </row>
    <row r="331" spans="1:4" x14ac:dyDescent="0.2">
      <c r="A331" s="30" t="s">
        <v>400</v>
      </c>
      <c r="B331" s="30" t="s">
        <v>655</v>
      </c>
      <c r="C331" s="32">
        <v>5044.93</v>
      </c>
      <c r="D331" s="32">
        <v>4000</v>
      </c>
    </row>
    <row r="332" spans="1:4" x14ac:dyDescent="0.2">
      <c r="A332" s="30" t="s">
        <v>397</v>
      </c>
      <c r="B332" s="30" t="s">
        <v>224</v>
      </c>
      <c r="C332" s="32">
        <v>1334.25</v>
      </c>
      <c r="D332" s="32">
        <v>5000</v>
      </c>
    </row>
    <row r="333" spans="1:4" x14ac:dyDescent="0.2">
      <c r="A333" s="30" t="s">
        <v>679</v>
      </c>
      <c r="B333" s="30" t="s">
        <v>138</v>
      </c>
      <c r="C333" s="32">
        <v>87.85</v>
      </c>
      <c r="D333" s="32">
        <v>0</v>
      </c>
    </row>
    <row r="334" spans="1:4" x14ac:dyDescent="0.2">
      <c r="A334" s="30" t="s">
        <v>680</v>
      </c>
      <c r="B334" s="30" t="s">
        <v>203</v>
      </c>
      <c r="C334" s="32">
        <v>397.75</v>
      </c>
      <c r="D334" s="32">
        <v>0</v>
      </c>
    </row>
    <row r="335" spans="1:4" x14ac:dyDescent="0.2">
      <c r="A335" s="30" t="s">
        <v>681</v>
      </c>
      <c r="B335" s="30" t="s">
        <v>547</v>
      </c>
      <c r="C335" s="32">
        <v>270</v>
      </c>
      <c r="D335" s="32">
        <v>0</v>
      </c>
    </row>
    <row r="336" spans="1:4" x14ac:dyDescent="0.2">
      <c r="A336" s="30" t="s">
        <v>682</v>
      </c>
      <c r="B336" s="30" t="s">
        <v>404</v>
      </c>
      <c r="C336" s="32">
        <v>150.49</v>
      </c>
      <c r="D336" s="32">
        <v>1000</v>
      </c>
    </row>
    <row r="337" spans="1:4" x14ac:dyDescent="0.2">
      <c r="A337" s="30" t="s">
        <v>405</v>
      </c>
      <c r="B337" s="30" t="s">
        <v>134</v>
      </c>
      <c r="C337" s="32">
        <v>3673.3</v>
      </c>
      <c r="D337" s="32">
        <v>5000</v>
      </c>
    </row>
    <row r="338" spans="1:4" x14ac:dyDescent="0.2">
      <c r="A338" s="30" t="s">
        <v>407</v>
      </c>
      <c r="B338" s="30" t="s">
        <v>683</v>
      </c>
      <c r="C338" s="32">
        <v>7946.24</v>
      </c>
      <c r="D338" s="32">
        <v>1500</v>
      </c>
    </row>
    <row r="339" spans="1:4" x14ac:dyDescent="0.2">
      <c r="A339" s="30" t="s">
        <v>684</v>
      </c>
      <c r="B339" s="30" t="s">
        <v>685</v>
      </c>
      <c r="C339" s="32">
        <v>5985.04</v>
      </c>
      <c r="D339" s="32">
        <v>0</v>
      </c>
    </row>
    <row r="340" spans="1:4" x14ac:dyDescent="0.2">
      <c r="A340" s="30" t="s">
        <v>686</v>
      </c>
      <c r="B340" s="30" t="s">
        <v>504</v>
      </c>
      <c r="C340" s="32">
        <v>452.47</v>
      </c>
      <c r="D340" s="32">
        <v>0</v>
      </c>
    </row>
    <row r="341" spans="1:4" x14ac:dyDescent="0.2">
      <c r="A341" s="30" t="s">
        <v>687</v>
      </c>
      <c r="B341" s="30" t="s">
        <v>506</v>
      </c>
      <c r="C341" s="32">
        <v>572.20000000000005</v>
      </c>
      <c r="D341" s="32">
        <v>0</v>
      </c>
    </row>
    <row r="342" spans="1:4" x14ac:dyDescent="0.2">
      <c r="A342" s="30" t="s">
        <v>688</v>
      </c>
      <c r="B342" s="30" t="s">
        <v>150</v>
      </c>
      <c r="C342" s="32">
        <v>109.3</v>
      </c>
      <c r="D342" s="32">
        <v>0</v>
      </c>
    </row>
    <row r="343" spans="1:4" x14ac:dyDescent="0.2">
      <c r="A343" s="30" t="s">
        <v>689</v>
      </c>
      <c r="B343" s="30" t="s">
        <v>152</v>
      </c>
      <c r="C343" s="32">
        <v>270.85000000000002</v>
      </c>
      <c r="D343" s="32">
        <v>0</v>
      </c>
    </row>
    <row r="344" spans="1:4" x14ac:dyDescent="0.2">
      <c r="A344" s="30" t="s">
        <v>410</v>
      </c>
      <c r="B344" s="30" t="s">
        <v>118</v>
      </c>
      <c r="C344" s="32">
        <v>36.950000000000003</v>
      </c>
      <c r="D344" s="32">
        <v>0</v>
      </c>
    </row>
    <row r="345" spans="1:4" x14ac:dyDescent="0.2">
      <c r="A345" s="30" t="s">
        <v>411</v>
      </c>
      <c r="B345" s="30" t="s">
        <v>120</v>
      </c>
      <c r="C345" s="32">
        <v>10832.74</v>
      </c>
      <c r="D345" s="32">
        <v>15750</v>
      </c>
    </row>
    <row r="346" spans="1:4" x14ac:dyDescent="0.2">
      <c r="A346" s="30" t="s">
        <v>690</v>
      </c>
      <c r="B346" s="30" t="s">
        <v>122</v>
      </c>
      <c r="C346" s="32">
        <v>48.13</v>
      </c>
      <c r="D346" s="32">
        <v>0</v>
      </c>
    </row>
    <row r="347" spans="1:4" x14ac:dyDescent="0.2">
      <c r="A347" s="30" t="s">
        <v>691</v>
      </c>
      <c r="B347" s="30" t="s">
        <v>124</v>
      </c>
      <c r="C347" s="32">
        <v>152.12</v>
      </c>
      <c r="D347" s="32">
        <v>0</v>
      </c>
    </row>
    <row r="348" spans="1:4" x14ac:dyDescent="0.2">
      <c r="A348" s="30" t="s">
        <v>692</v>
      </c>
      <c r="B348" s="30" t="s">
        <v>162</v>
      </c>
      <c r="C348" s="32">
        <v>2787.2</v>
      </c>
      <c r="D348" s="32">
        <v>0</v>
      </c>
    </row>
    <row r="349" spans="1:4" x14ac:dyDescent="0.2">
      <c r="A349" s="30" t="s">
        <v>693</v>
      </c>
      <c r="B349" s="30" t="s">
        <v>166</v>
      </c>
      <c r="C349" s="32">
        <v>66.19</v>
      </c>
      <c r="D349" s="32">
        <v>0</v>
      </c>
    </row>
    <row r="350" spans="1:4" x14ac:dyDescent="0.2">
      <c r="A350" s="30" t="s">
        <v>694</v>
      </c>
      <c r="B350" s="30" t="s">
        <v>177</v>
      </c>
      <c r="C350" s="32">
        <v>192.88</v>
      </c>
      <c r="D350" s="32">
        <v>0</v>
      </c>
    </row>
    <row r="351" spans="1:4" x14ac:dyDescent="0.2">
      <c r="A351" s="30" t="s">
        <v>412</v>
      </c>
      <c r="B351" s="30" t="s">
        <v>413</v>
      </c>
      <c r="C351" s="32">
        <v>2520</v>
      </c>
      <c r="D351" s="32">
        <v>3500</v>
      </c>
    </row>
    <row r="352" spans="1:4" x14ac:dyDescent="0.2">
      <c r="A352" s="30" t="s">
        <v>414</v>
      </c>
      <c r="B352" s="30" t="s">
        <v>224</v>
      </c>
      <c r="C352" s="32">
        <v>14027.1</v>
      </c>
      <c r="D352" s="32">
        <v>14200</v>
      </c>
    </row>
    <row r="353" spans="1:4" x14ac:dyDescent="0.2">
      <c r="A353" s="30" t="s">
        <v>695</v>
      </c>
      <c r="B353" s="30" t="s">
        <v>138</v>
      </c>
      <c r="C353" s="32">
        <v>11.54</v>
      </c>
      <c r="D353" s="32">
        <v>0</v>
      </c>
    </row>
    <row r="354" spans="1:4" x14ac:dyDescent="0.2">
      <c r="A354" s="30" t="s">
        <v>415</v>
      </c>
      <c r="B354" s="30" t="s">
        <v>381</v>
      </c>
      <c r="C354" s="32">
        <v>874.01</v>
      </c>
      <c r="D354" s="32">
        <v>1333</v>
      </c>
    </row>
    <row r="355" spans="1:4" x14ac:dyDescent="0.2">
      <c r="A355" s="30" t="s">
        <v>416</v>
      </c>
      <c r="B355" s="30" t="s">
        <v>134</v>
      </c>
      <c r="C355" s="32">
        <v>28363.61</v>
      </c>
      <c r="D355" s="32">
        <v>28600</v>
      </c>
    </row>
    <row r="356" spans="1:4" x14ac:dyDescent="0.2">
      <c r="A356" s="30" t="s">
        <v>696</v>
      </c>
      <c r="B356" s="30" t="s">
        <v>697</v>
      </c>
      <c r="C356" s="32">
        <v>5343.85</v>
      </c>
      <c r="D356" s="32">
        <v>0</v>
      </c>
    </row>
    <row r="357" spans="1:4" x14ac:dyDescent="0.2">
      <c r="A357" s="30" t="s">
        <v>698</v>
      </c>
      <c r="B357" s="30" t="s">
        <v>504</v>
      </c>
      <c r="C357" s="32">
        <v>368.74</v>
      </c>
      <c r="D357" s="32">
        <v>0</v>
      </c>
    </row>
    <row r="358" spans="1:4" x14ac:dyDescent="0.2">
      <c r="A358" s="30" t="s">
        <v>699</v>
      </c>
      <c r="B358" s="30" t="s">
        <v>150</v>
      </c>
      <c r="C358" s="32">
        <v>89.07</v>
      </c>
      <c r="D358" s="32">
        <v>0</v>
      </c>
    </row>
    <row r="359" spans="1:4" x14ac:dyDescent="0.2">
      <c r="A359" s="30" t="s">
        <v>700</v>
      </c>
      <c r="B359" s="30" t="s">
        <v>152</v>
      </c>
      <c r="C359" s="32">
        <v>220.72</v>
      </c>
      <c r="D359" s="32">
        <v>0</v>
      </c>
    </row>
    <row r="360" spans="1:4" x14ac:dyDescent="0.2">
      <c r="A360" s="30" t="s">
        <v>701</v>
      </c>
      <c r="B360" s="30" t="s">
        <v>118</v>
      </c>
      <c r="C360" s="32">
        <v>30.14</v>
      </c>
      <c r="D360" s="32">
        <v>0</v>
      </c>
    </row>
    <row r="361" spans="1:4" x14ac:dyDescent="0.2">
      <c r="A361" s="30" t="s">
        <v>419</v>
      </c>
      <c r="B361" s="30" t="s">
        <v>120</v>
      </c>
      <c r="C361" s="32">
        <v>63.04</v>
      </c>
      <c r="D361" s="32">
        <v>0</v>
      </c>
    </row>
    <row r="362" spans="1:4" x14ac:dyDescent="0.2">
      <c r="A362" s="30" t="s">
        <v>420</v>
      </c>
      <c r="B362" s="30" t="s">
        <v>122</v>
      </c>
      <c r="C362" s="32">
        <v>39.21</v>
      </c>
      <c r="D362" s="32">
        <v>0</v>
      </c>
    </row>
    <row r="363" spans="1:4" x14ac:dyDescent="0.2">
      <c r="A363" s="30" t="s">
        <v>702</v>
      </c>
      <c r="B363" s="30" t="s">
        <v>166</v>
      </c>
      <c r="C363" s="32">
        <v>53.93</v>
      </c>
      <c r="D363" s="32">
        <v>0</v>
      </c>
    </row>
    <row r="364" spans="1:4" x14ac:dyDescent="0.2">
      <c r="A364" s="30" t="s">
        <v>703</v>
      </c>
      <c r="B364" s="30" t="s">
        <v>177</v>
      </c>
      <c r="C364" s="32">
        <v>157.19</v>
      </c>
      <c r="D364" s="32">
        <v>0</v>
      </c>
    </row>
    <row r="365" spans="1:4" x14ac:dyDescent="0.2">
      <c r="A365" s="30" t="s">
        <v>423</v>
      </c>
      <c r="B365" s="30" t="s">
        <v>704</v>
      </c>
      <c r="C365" s="32">
        <v>0</v>
      </c>
      <c r="D365" s="32">
        <v>1200</v>
      </c>
    </row>
    <row r="366" spans="1:4" x14ac:dyDescent="0.2">
      <c r="A366" s="30" t="s">
        <v>705</v>
      </c>
      <c r="B366" s="30" t="s">
        <v>138</v>
      </c>
      <c r="C366" s="32">
        <v>9.42</v>
      </c>
      <c r="D366" s="32">
        <v>0</v>
      </c>
    </row>
    <row r="367" spans="1:4" x14ac:dyDescent="0.2">
      <c r="A367" s="30" t="s">
        <v>426</v>
      </c>
      <c r="B367" s="30" t="s">
        <v>706</v>
      </c>
      <c r="C367" s="32">
        <v>0</v>
      </c>
      <c r="D367" s="32">
        <v>3000</v>
      </c>
    </row>
    <row r="368" spans="1:4" x14ac:dyDescent="0.2">
      <c r="A368" s="30" t="s">
        <v>707</v>
      </c>
      <c r="B368" s="30" t="s">
        <v>708</v>
      </c>
      <c r="C368" s="32">
        <v>0</v>
      </c>
      <c r="D368" s="32">
        <v>500</v>
      </c>
    </row>
    <row r="369" spans="1:4" customFormat="1" ht="15" x14ac:dyDescent="0.25">
      <c r="A369" s="33"/>
      <c r="B369" s="33"/>
      <c r="C369" s="34"/>
      <c r="D369" s="34"/>
    </row>
    <row r="370" spans="1:4" x14ac:dyDescent="0.2">
      <c r="A370" s="30" t="s">
        <v>113</v>
      </c>
      <c r="B370" s="30" t="s">
        <v>709</v>
      </c>
      <c r="C370" s="32">
        <f>SUM(C59:C369)</f>
        <v>1355553.9999999998</v>
      </c>
      <c r="D370" s="32">
        <f>SUM(D59:D369)</f>
        <v>1377194.08</v>
      </c>
    </row>
    <row r="371" spans="1:4" customFormat="1" ht="15" x14ac:dyDescent="0.25">
      <c r="A371" s="33"/>
      <c r="B371" s="33"/>
      <c r="C371" s="34"/>
      <c r="D371" s="34"/>
    </row>
    <row r="372" spans="1:4" ht="13.5" thickBot="1" x14ac:dyDescent="0.25">
      <c r="A372" s="30" t="s">
        <v>113</v>
      </c>
      <c r="B372" s="30" t="s">
        <v>710</v>
      </c>
      <c r="C372" s="31">
        <f>-(ROUND(-C55+C370, 5))</f>
        <v>55610</v>
      </c>
      <c r="D372" s="31">
        <f>-(ROUND(-D55+D370, 5))</f>
        <v>3101.92</v>
      </c>
    </row>
    <row r="373" spans="1:4" customFormat="1" ht="16.5" thickTop="1" thickBot="1" x14ac:dyDescent="0.3">
      <c r="A373" s="35"/>
      <c r="B373" s="35"/>
      <c r="C373" s="36"/>
      <c r="D373" s="3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73"/>
  <sheetViews>
    <sheetView workbookViewId="0">
      <selection activeCell="C8" sqref="C8"/>
    </sheetView>
  </sheetViews>
  <sheetFormatPr defaultColWidth="9.140625" defaultRowHeight="12.75" x14ac:dyDescent="0.2"/>
  <cols>
    <col min="1" max="1" width="17.7109375" style="29" customWidth="1"/>
    <col min="2" max="2" width="32.7109375" style="29" customWidth="1"/>
    <col min="3" max="4" width="14.7109375" style="29" customWidth="1"/>
    <col min="5" max="16384" width="9.140625" style="29"/>
  </cols>
  <sheetData>
    <row r="1" spans="1:4" ht="25.5" x14ac:dyDescent="0.2">
      <c r="A1" s="26" t="s">
        <v>432</v>
      </c>
      <c r="B1" s="26" t="s">
        <v>1</v>
      </c>
      <c r="C1" s="27" t="s">
        <v>433</v>
      </c>
      <c r="D1" s="28" t="s">
        <v>434</v>
      </c>
    </row>
    <row r="2" spans="1:4" x14ac:dyDescent="0.2">
      <c r="A2" s="30" t="s">
        <v>435</v>
      </c>
    </row>
    <row r="3" spans="1:4" x14ac:dyDescent="0.2">
      <c r="A3" s="30" t="s">
        <v>30</v>
      </c>
      <c r="B3" s="30" t="s">
        <v>436</v>
      </c>
      <c r="C3" s="31">
        <v>29090.71</v>
      </c>
      <c r="D3" s="32">
        <v>22000</v>
      </c>
    </row>
    <row r="4" spans="1:4" x14ac:dyDescent="0.2">
      <c r="A4" s="30" t="s">
        <v>34</v>
      </c>
      <c r="B4" s="30" t="s">
        <v>437</v>
      </c>
      <c r="C4" s="32">
        <v>4310</v>
      </c>
      <c r="D4" s="32">
        <v>5000</v>
      </c>
    </row>
    <row r="5" spans="1:4" x14ac:dyDescent="0.2">
      <c r="A5" s="30" t="s">
        <v>20</v>
      </c>
      <c r="B5" s="30" t="s">
        <v>438</v>
      </c>
      <c r="C5" s="32">
        <v>8239.07</v>
      </c>
      <c r="D5" s="32">
        <v>12133.5</v>
      </c>
    </row>
    <row r="6" spans="1:4" x14ac:dyDescent="0.2">
      <c r="A6" s="30" t="s">
        <v>442</v>
      </c>
      <c r="B6" s="30" t="s">
        <v>24</v>
      </c>
      <c r="C6" s="32">
        <v>34890.9</v>
      </c>
      <c r="D6" s="32">
        <v>31211.74</v>
      </c>
    </row>
    <row r="7" spans="1:4" x14ac:dyDescent="0.2">
      <c r="A7" s="30" t="s">
        <v>17</v>
      </c>
      <c r="B7" s="30" t="s">
        <v>443</v>
      </c>
      <c r="C7" s="32">
        <v>570253.72</v>
      </c>
      <c r="D7" s="32">
        <v>577069.31000000006</v>
      </c>
    </row>
    <row r="8" spans="1:4" x14ac:dyDescent="0.2">
      <c r="A8" s="30" t="s">
        <v>36</v>
      </c>
      <c r="B8" s="30" t="s">
        <v>444</v>
      </c>
      <c r="C8" s="32">
        <v>198622.64</v>
      </c>
      <c r="D8" s="32">
        <v>164650</v>
      </c>
    </row>
    <row r="9" spans="1:4" x14ac:dyDescent="0.2">
      <c r="A9" s="30" t="s">
        <v>782</v>
      </c>
      <c r="B9" s="30" t="s">
        <v>783</v>
      </c>
      <c r="C9" s="32">
        <v>8940</v>
      </c>
      <c r="D9" s="32">
        <v>0</v>
      </c>
    </row>
    <row r="10" spans="1:4" x14ac:dyDescent="0.2">
      <c r="A10" s="30" t="s">
        <v>38</v>
      </c>
      <c r="B10" s="30" t="s">
        <v>446</v>
      </c>
      <c r="C10" s="32">
        <v>12801.29</v>
      </c>
      <c r="D10" s="32">
        <v>11940</v>
      </c>
    </row>
    <row r="11" spans="1:4" x14ac:dyDescent="0.2">
      <c r="A11" s="30" t="s">
        <v>39</v>
      </c>
      <c r="B11" s="30" t="s">
        <v>447</v>
      </c>
      <c r="C11" s="32">
        <v>17009.14</v>
      </c>
      <c r="D11" s="32">
        <v>17270</v>
      </c>
    </row>
    <row r="12" spans="1:4" x14ac:dyDescent="0.2">
      <c r="A12" s="30" t="s">
        <v>40</v>
      </c>
      <c r="B12" s="30" t="s">
        <v>448</v>
      </c>
      <c r="C12" s="32">
        <v>13782.63</v>
      </c>
      <c r="D12" s="32">
        <v>14225</v>
      </c>
    </row>
    <row r="13" spans="1:4" x14ac:dyDescent="0.2">
      <c r="A13" s="30" t="s">
        <v>784</v>
      </c>
      <c r="B13" s="30" t="s">
        <v>548</v>
      </c>
      <c r="C13" s="32">
        <v>33497.1</v>
      </c>
      <c r="D13" s="32">
        <v>31025</v>
      </c>
    </row>
    <row r="14" spans="1:4" x14ac:dyDescent="0.2">
      <c r="A14" s="30" t="s">
        <v>44</v>
      </c>
      <c r="B14" s="30" t="s">
        <v>449</v>
      </c>
      <c r="C14" s="32">
        <v>10324</v>
      </c>
      <c r="D14" s="32">
        <v>9000</v>
      </c>
    </row>
    <row r="15" spans="1:4" x14ac:dyDescent="0.2">
      <c r="A15" s="30" t="s">
        <v>431</v>
      </c>
      <c r="B15" s="30" t="s">
        <v>785</v>
      </c>
      <c r="C15" s="32">
        <v>3068.47</v>
      </c>
      <c r="D15" s="32">
        <v>5500</v>
      </c>
    </row>
    <row r="16" spans="1:4" x14ac:dyDescent="0.2">
      <c r="A16" s="30" t="s">
        <v>55</v>
      </c>
      <c r="B16" s="30" t="s">
        <v>450</v>
      </c>
      <c r="C16" s="32">
        <v>719.87</v>
      </c>
      <c r="D16" s="32">
        <v>1700</v>
      </c>
    </row>
    <row r="17" spans="1:4" x14ac:dyDescent="0.2">
      <c r="A17" s="30" t="s">
        <v>57</v>
      </c>
      <c r="B17" s="30" t="s">
        <v>58</v>
      </c>
      <c r="C17" s="32">
        <v>129.05000000000001</v>
      </c>
      <c r="D17" s="32">
        <v>100</v>
      </c>
    </row>
    <row r="18" spans="1:4" x14ac:dyDescent="0.2">
      <c r="A18" s="30" t="s">
        <v>63</v>
      </c>
      <c r="B18" s="30" t="s">
        <v>451</v>
      </c>
      <c r="C18" s="32">
        <v>0</v>
      </c>
      <c r="D18" s="32">
        <v>3330</v>
      </c>
    </row>
    <row r="19" spans="1:4" x14ac:dyDescent="0.2">
      <c r="A19" s="30" t="s">
        <v>59</v>
      </c>
      <c r="B19" s="30" t="s">
        <v>452</v>
      </c>
      <c r="C19" s="32">
        <v>3469.81</v>
      </c>
      <c r="D19" s="32">
        <v>10014</v>
      </c>
    </row>
    <row r="20" spans="1:4" x14ac:dyDescent="0.2">
      <c r="A20" s="30" t="s">
        <v>61</v>
      </c>
      <c r="B20" s="30" t="s">
        <v>453</v>
      </c>
      <c r="C20" s="32">
        <v>9289.2199999999993</v>
      </c>
      <c r="D20" s="32">
        <v>9300</v>
      </c>
    </row>
    <row r="21" spans="1:4" x14ac:dyDescent="0.2">
      <c r="A21" s="30" t="s">
        <v>66</v>
      </c>
      <c r="B21" s="30" t="s">
        <v>454</v>
      </c>
      <c r="C21" s="32">
        <v>51265</v>
      </c>
      <c r="D21" s="32">
        <v>33785</v>
      </c>
    </row>
    <row r="22" spans="1:4" x14ac:dyDescent="0.2">
      <c r="A22" s="30" t="s">
        <v>25</v>
      </c>
      <c r="B22" s="30" t="s">
        <v>457</v>
      </c>
      <c r="C22" s="32">
        <v>7543.4</v>
      </c>
      <c r="D22" s="32">
        <v>8022.3</v>
      </c>
    </row>
    <row r="23" spans="1:4" x14ac:dyDescent="0.2">
      <c r="A23" s="30" t="s">
        <v>97</v>
      </c>
      <c r="B23" s="30" t="s">
        <v>458</v>
      </c>
      <c r="C23" s="32">
        <v>10205</v>
      </c>
      <c r="D23" s="32">
        <v>13055</v>
      </c>
    </row>
    <row r="24" spans="1:4" x14ac:dyDescent="0.2">
      <c r="A24" s="30" t="s">
        <v>48</v>
      </c>
      <c r="B24" s="30" t="s">
        <v>461</v>
      </c>
      <c r="C24" s="32">
        <v>920</v>
      </c>
      <c r="D24" s="32">
        <v>1000</v>
      </c>
    </row>
    <row r="25" spans="1:4" x14ac:dyDescent="0.2">
      <c r="A25" s="30" t="s">
        <v>27</v>
      </c>
      <c r="B25" s="30" t="s">
        <v>462</v>
      </c>
      <c r="C25" s="32">
        <v>120</v>
      </c>
      <c r="D25" s="32">
        <v>1066</v>
      </c>
    </row>
    <row r="26" spans="1:4" x14ac:dyDescent="0.2">
      <c r="A26" s="30" t="s">
        <v>71</v>
      </c>
      <c r="B26" s="30" t="s">
        <v>465</v>
      </c>
      <c r="C26" s="32">
        <v>19156.990000000002</v>
      </c>
      <c r="D26" s="32">
        <v>20900</v>
      </c>
    </row>
    <row r="27" spans="1:4" x14ac:dyDescent="0.2">
      <c r="A27" s="30" t="s">
        <v>86</v>
      </c>
      <c r="B27" s="30" t="s">
        <v>466</v>
      </c>
      <c r="C27" s="32">
        <v>21000</v>
      </c>
      <c r="D27" s="32">
        <v>21000</v>
      </c>
    </row>
    <row r="28" spans="1:4" x14ac:dyDescent="0.2">
      <c r="A28" s="30" t="s">
        <v>786</v>
      </c>
      <c r="B28" s="30" t="s">
        <v>787</v>
      </c>
      <c r="C28" s="32">
        <v>-6500</v>
      </c>
      <c r="D28" s="32">
        <v>0</v>
      </c>
    </row>
    <row r="29" spans="1:4" x14ac:dyDescent="0.2">
      <c r="A29" s="30" t="s">
        <v>788</v>
      </c>
      <c r="B29" s="30" t="s">
        <v>789</v>
      </c>
      <c r="C29" s="32">
        <v>8190</v>
      </c>
      <c r="D29" s="32">
        <v>0</v>
      </c>
    </row>
    <row r="30" spans="1:4" x14ac:dyDescent="0.2">
      <c r="A30" s="30" t="s">
        <v>89</v>
      </c>
      <c r="B30" s="30" t="s">
        <v>469</v>
      </c>
      <c r="C30" s="32">
        <v>37500</v>
      </c>
      <c r="D30" s="32">
        <v>18000</v>
      </c>
    </row>
    <row r="31" spans="1:4" x14ac:dyDescent="0.2">
      <c r="A31" s="30" t="s">
        <v>90</v>
      </c>
      <c r="B31" s="30" t="s">
        <v>470</v>
      </c>
      <c r="C31" s="32">
        <v>18500</v>
      </c>
      <c r="D31" s="32">
        <v>16500</v>
      </c>
    </row>
    <row r="32" spans="1:4" x14ac:dyDescent="0.2">
      <c r="A32" s="30" t="s">
        <v>32</v>
      </c>
      <c r="B32" s="30" t="s">
        <v>471</v>
      </c>
      <c r="C32" s="32">
        <v>88040</v>
      </c>
      <c r="D32" s="32">
        <v>75000</v>
      </c>
    </row>
    <row r="33" spans="1:4" x14ac:dyDescent="0.2">
      <c r="A33" s="30" t="s">
        <v>79</v>
      </c>
      <c r="B33" s="30" t="s">
        <v>790</v>
      </c>
      <c r="C33" s="32">
        <v>3300</v>
      </c>
      <c r="D33" s="32">
        <v>3300</v>
      </c>
    </row>
    <row r="34" spans="1:4" x14ac:dyDescent="0.2">
      <c r="A34" s="30" t="s">
        <v>791</v>
      </c>
      <c r="B34" s="30" t="s">
        <v>792</v>
      </c>
      <c r="C34" s="32">
        <v>7600</v>
      </c>
      <c r="D34" s="32">
        <v>0</v>
      </c>
    </row>
    <row r="35" spans="1:4" x14ac:dyDescent="0.2">
      <c r="A35" s="30" t="s">
        <v>100</v>
      </c>
      <c r="B35" s="30" t="s">
        <v>473</v>
      </c>
      <c r="C35" s="32">
        <v>3743.98</v>
      </c>
      <c r="D35" s="32">
        <v>3744</v>
      </c>
    </row>
    <row r="36" spans="1:4" x14ac:dyDescent="0.2">
      <c r="A36" s="30" t="s">
        <v>83</v>
      </c>
      <c r="B36" s="30" t="s">
        <v>474</v>
      </c>
      <c r="C36" s="32">
        <v>5500</v>
      </c>
      <c r="D36" s="32">
        <v>5500</v>
      </c>
    </row>
    <row r="37" spans="1:4" x14ac:dyDescent="0.2">
      <c r="A37" s="30" t="s">
        <v>92</v>
      </c>
      <c r="B37" s="30" t="s">
        <v>93</v>
      </c>
      <c r="C37" s="32">
        <v>6270</v>
      </c>
      <c r="D37" s="32">
        <v>4500</v>
      </c>
    </row>
    <row r="38" spans="1:4" x14ac:dyDescent="0.2">
      <c r="A38" s="30" t="s">
        <v>94</v>
      </c>
      <c r="B38" s="30" t="s">
        <v>477</v>
      </c>
      <c r="C38" s="32">
        <v>25984.6</v>
      </c>
      <c r="D38" s="32">
        <v>30978</v>
      </c>
    </row>
    <row r="39" spans="1:4" x14ac:dyDescent="0.2">
      <c r="A39" s="30" t="s">
        <v>96</v>
      </c>
      <c r="B39" s="30" t="s">
        <v>480</v>
      </c>
      <c r="C39" s="32">
        <v>79621.210000000006</v>
      </c>
      <c r="D39" s="32">
        <v>45990.6</v>
      </c>
    </row>
    <row r="40" spans="1:4" x14ac:dyDescent="0.2">
      <c r="A40" s="30" t="s">
        <v>489</v>
      </c>
      <c r="B40" s="30" t="s">
        <v>490</v>
      </c>
      <c r="C40" s="32">
        <v>137664</v>
      </c>
      <c r="D40" s="32">
        <v>0</v>
      </c>
    </row>
    <row r="41" spans="1:4" customFormat="1" ht="15" x14ac:dyDescent="0.25">
      <c r="A41" s="33"/>
      <c r="B41" s="33"/>
      <c r="C41" s="34"/>
      <c r="D41" s="34"/>
    </row>
    <row r="42" spans="1:4" x14ac:dyDescent="0.2">
      <c r="A42" s="30" t="s">
        <v>113</v>
      </c>
      <c r="B42" s="30" t="s">
        <v>499</v>
      </c>
      <c r="C42" s="32">
        <f>ROUND(SUBTOTAL(9, C2:C41), 5)</f>
        <v>1484061.8</v>
      </c>
      <c r="D42" s="32">
        <f>ROUND(SUBTOTAL(9, D2:D41), 5)</f>
        <v>1227809.45</v>
      </c>
    </row>
    <row r="43" spans="1:4" customFormat="1" ht="15" x14ac:dyDescent="0.25">
      <c r="A43" s="33"/>
      <c r="B43" s="33"/>
      <c r="C43" s="34"/>
      <c r="D43" s="34"/>
    </row>
    <row r="44" spans="1:4" x14ac:dyDescent="0.2">
      <c r="A44" s="26" t="s">
        <v>113</v>
      </c>
    </row>
    <row r="45" spans="1:4" x14ac:dyDescent="0.2">
      <c r="A45" s="30" t="s">
        <v>500</v>
      </c>
    </row>
    <row r="46" spans="1:4" x14ac:dyDescent="0.2">
      <c r="A46" s="30" t="s">
        <v>123</v>
      </c>
      <c r="B46" s="30" t="s">
        <v>124</v>
      </c>
      <c r="C46" s="32">
        <v>1649.81</v>
      </c>
      <c r="D46" s="32">
        <v>1350</v>
      </c>
    </row>
    <row r="47" spans="1:4" x14ac:dyDescent="0.2">
      <c r="A47" s="30" t="s">
        <v>125</v>
      </c>
      <c r="B47" s="30" t="s">
        <v>126</v>
      </c>
      <c r="C47" s="32">
        <v>4355.6400000000003</v>
      </c>
      <c r="D47" s="32">
        <v>9135.11</v>
      </c>
    </row>
    <row r="48" spans="1:4" x14ac:dyDescent="0.2">
      <c r="A48" s="30" t="s">
        <v>127</v>
      </c>
      <c r="B48" s="30" t="s">
        <v>128</v>
      </c>
      <c r="C48" s="32">
        <v>5006.5600000000004</v>
      </c>
      <c r="D48" s="32">
        <v>2800</v>
      </c>
    </row>
    <row r="49" spans="1:4" x14ac:dyDescent="0.2">
      <c r="A49" s="30" t="s">
        <v>129</v>
      </c>
      <c r="B49" s="30" t="s">
        <v>511</v>
      </c>
      <c r="C49" s="32">
        <v>7150</v>
      </c>
      <c r="D49" s="32">
        <v>8600</v>
      </c>
    </row>
    <row r="50" spans="1:4" x14ac:dyDescent="0.2">
      <c r="A50" s="30" t="s">
        <v>131</v>
      </c>
      <c r="B50" s="30" t="s">
        <v>132</v>
      </c>
      <c r="C50" s="32">
        <v>1062.68</v>
      </c>
      <c r="D50" s="32">
        <v>500</v>
      </c>
    </row>
    <row r="51" spans="1:4" x14ac:dyDescent="0.2">
      <c r="A51" s="30" t="s">
        <v>793</v>
      </c>
      <c r="B51" s="30" t="s">
        <v>794</v>
      </c>
      <c r="C51" s="32">
        <v>9413.4699999999993</v>
      </c>
      <c r="D51" s="32">
        <v>0</v>
      </c>
    </row>
    <row r="52" spans="1:4" x14ac:dyDescent="0.2">
      <c r="A52" s="30" t="s">
        <v>141</v>
      </c>
      <c r="B52" s="30" t="s">
        <v>513</v>
      </c>
      <c r="C52" s="32">
        <v>371179.17</v>
      </c>
      <c r="D52" s="32">
        <v>380838.69</v>
      </c>
    </row>
    <row r="53" spans="1:4" x14ac:dyDescent="0.2">
      <c r="A53" s="30" t="s">
        <v>143</v>
      </c>
      <c r="B53" s="30" t="s">
        <v>514</v>
      </c>
      <c r="C53" s="32">
        <v>75.89</v>
      </c>
      <c r="D53" s="32">
        <v>68.25</v>
      </c>
    </row>
    <row r="54" spans="1:4" x14ac:dyDescent="0.2">
      <c r="A54" s="30" t="s">
        <v>145</v>
      </c>
      <c r="B54" s="30" t="s">
        <v>504</v>
      </c>
      <c r="C54" s="32">
        <v>28242.79</v>
      </c>
      <c r="D54" s="32">
        <v>28927.439999999999</v>
      </c>
    </row>
    <row r="55" spans="1:4" x14ac:dyDescent="0.2">
      <c r="A55" s="30" t="s">
        <v>147</v>
      </c>
      <c r="B55" s="30" t="s">
        <v>506</v>
      </c>
      <c r="C55" s="32">
        <v>39505.599999999999</v>
      </c>
      <c r="D55" s="32">
        <v>32363.19</v>
      </c>
    </row>
    <row r="56" spans="1:4" x14ac:dyDescent="0.2">
      <c r="A56" s="30" t="s">
        <v>149</v>
      </c>
      <c r="B56" s="30" t="s">
        <v>150</v>
      </c>
      <c r="C56" s="32">
        <v>6258.52</v>
      </c>
      <c r="D56" s="32">
        <v>6629.26</v>
      </c>
    </row>
    <row r="57" spans="1:4" x14ac:dyDescent="0.2">
      <c r="A57" s="30" t="s">
        <v>151</v>
      </c>
      <c r="B57" s="30" t="s">
        <v>152</v>
      </c>
      <c r="C57" s="32">
        <v>12872.27</v>
      </c>
      <c r="D57" s="32">
        <v>12313.52</v>
      </c>
    </row>
    <row r="58" spans="1:4" x14ac:dyDescent="0.2">
      <c r="A58" s="30" t="s">
        <v>153</v>
      </c>
      <c r="B58" s="30" t="s">
        <v>118</v>
      </c>
      <c r="C58" s="32">
        <v>2801.83</v>
      </c>
      <c r="D58" s="32">
        <v>3299.94</v>
      </c>
    </row>
    <row r="59" spans="1:4" x14ac:dyDescent="0.2">
      <c r="A59" s="30" t="s">
        <v>154</v>
      </c>
      <c r="B59" s="30" t="s">
        <v>120</v>
      </c>
      <c r="C59" s="32">
        <v>6075.87</v>
      </c>
      <c r="D59" s="32">
        <v>3412.44</v>
      </c>
    </row>
    <row r="60" spans="1:4" x14ac:dyDescent="0.2">
      <c r="A60" s="30" t="s">
        <v>155</v>
      </c>
      <c r="B60" s="30" t="s">
        <v>515</v>
      </c>
      <c r="C60" s="32">
        <v>0</v>
      </c>
      <c r="D60" s="32">
        <v>100</v>
      </c>
    </row>
    <row r="61" spans="1:4" x14ac:dyDescent="0.2">
      <c r="A61" s="30" t="s">
        <v>157</v>
      </c>
      <c r="B61" s="30" t="s">
        <v>122</v>
      </c>
      <c r="C61" s="32">
        <v>2041.66</v>
      </c>
      <c r="D61" s="32">
        <v>2999.97</v>
      </c>
    </row>
    <row r="62" spans="1:4" x14ac:dyDescent="0.2">
      <c r="A62" s="30" t="s">
        <v>159</v>
      </c>
      <c r="B62" s="30" t="s">
        <v>160</v>
      </c>
      <c r="C62" s="32">
        <v>2235.15</v>
      </c>
      <c r="D62" s="32">
        <v>2812.5</v>
      </c>
    </row>
    <row r="63" spans="1:4" x14ac:dyDescent="0.2">
      <c r="A63" s="30" t="s">
        <v>161</v>
      </c>
      <c r="B63" s="30" t="s">
        <v>162</v>
      </c>
      <c r="C63" s="32">
        <v>33900</v>
      </c>
      <c r="D63" s="32">
        <v>36900</v>
      </c>
    </row>
    <row r="64" spans="1:4" x14ac:dyDescent="0.2">
      <c r="A64" s="30" t="s">
        <v>163</v>
      </c>
      <c r="B64" s="30" t="s">
        <v>164</v>
      </c>
      <c r="C64" s="32">
        <v>1540</v>
      </c>
      <c r="D64" s="32">
        <v>1125</v>
      </c>
    </row>
    <row r="65" spans="1:4" x14ac:dyDescent="0.2">
      <c r="A65" s="30" t="s">
        <v>165</v>
      </c>
      <c r="B65" s="30" t="s">
        <v>166</v>
      </c>
      <c r="C65" s="32">
        <v>2094.4899999999998</v>
      </c>
      <c r="D65" s="32">
        <v>4513.68</v>
      </c>
    </row>
    <row r="66" spans="1:4" x14ac:dyDescent="0.2">
      <c r="A66" s="30" t="s">
        <v>167</v>
      </c>
      <c r="B66" s="30" t="s">
        <v>168</v>
      </c>
      <c r="C66" s="32">
        <v>680.09</v>
      </c>
      <c r="D66" s="32">
        <v>1327.41</v>
      </c>
    </row>
    <row r="67" spans="1:4" x14ac:dyDescent="0.2">
      <c r="A67" s="30" t="s">
        <v>169</v>
      </c>
      <c r="B67" s="30" t="s">
        <v>170</v>
      </c>
      <c r="C67" s="32">
        <v>8807</v>
      </c>
      <c r="D67" s="32">
        <v>9200</v>
      </c>
    </row>
    <row r="68" spans="1:4" x14ac:dyDescent="0.2">
      <c r="A68" s="30" t="s">
        <v>174</v>
      </c>
      <c r="B68" s="30" t="s">
        <v>175</v>
      </c>
      <c r="C68" s="32">
        <v>0</v>
      </c>
      <c r="D68" s="32">
        <v>375</v>
      </c>
    </row>
    <row r="69" spans="1:4" x14ac:dyDescent="0.2">
      <c r="A69" s="30" t="s">
        <v>176</v>
      </c>
      <c r="B69" s="30" t="s">
        <v>177</v>
      </c>
      <c r="C69" s="32">
        <v>15825</v>
      </c>
      <c r="D69" s="32">
        <v>16635</v>
      </c>
    </row>
    <row r="70" spans="1:4" x14ac:dyDescent="0.2">
      <c r="A70" s="30" t="s">
        <v>178</v>
      </c>
      <c r="B70" s="30" t="s">
        <v>179</v>
      </c>
      <c r="C70" s="32">
        <v>2114.35</v>
      </c>
      <c r="D70" s="32">
        <v>810</v>
      </c>
    </row>
    <row r="71" spans="1:4" x14ac:dyDescent="0.2">
      <c r="A71" s="30" t="s">
        <v>180</v>
      </c>
      <c r="B71" s="30" t="s">
        <v>516</v>
      </c>
      <c r="C71" s="32">
        <v>6436.15</v>
      </c>
      <c r="D71" s="32">
        <v>6286.5</v>
      </c>
    </row>
    <row r="72" spans="1:4" x14ac:dyDescent="0.2">
      <c r="A72" s="30" t="s">
        <v>795</v>
      </c>
      <c r="B72" s="30" t="s">
        <v>190</v>
      </c>
      <c r="C72" s="32">
        <v>12311.29</v>
      </c>
      <c r="D72" s="32">
        <v>12638</v>
      </c>
    </row>
    <row r="73" spans="1:4" x14ac:dyDescent="0.2">
      <c r="A73" s="30" t="s">
        <v>182</v>
      </c>
      <c r="B73" s="30" t="s">
        <v>517</v>
      </c>
      <c r="C73" s="32">
        <v>3551.03</v>
      </c>
      <c r="D73" s="32">
        <v>3749.94</v>
      </c>
    </row>
    <row r="74" spans="1:4" x14ac:dyDescent="0.2">
      <c r="A74" s="30" t="s">
        <v>185</v>
      </c>
      <c r="B74" s="30" t="s">
        <v>518</v>
      </c>
      <c r="C74" s="32">
        <v>23894.11</v>
      </c>
      <c r="D74" s="32">
        <v>19316</v>
      </c>
    </row>
    <row r="75" spans="1:4" x14ac:dyDescent="0.2">
      <c r="A75" s="30" t="s">
        <v>188</v>
      </c>
      <c r="B75" s="30" t="s">
        <v>189</v>
      </c>
      <c r="C75" s="32">
        <v>1106.04</v>
      </c>
      <c r="D75" s="32">
        <v>2116.0300000000002</v>
      </c>
    </row>
    <row r="76" spans="1:4" x14ac:dyDescent="0.2">
      <c r="A76" s="30" t="s">
        <v>796</v>
      </c>
      <c r="B76" s="30" t="s">
        <v>797</v>
      </c>
      <c r="C76" s="32">
        <v>318.91000000000003</v>
      </c>
      <c r="D76" s="32">
        <v>0</v>
      </c>
    </row>
    <row r="77" spans="1:4" x14ac:dyDescent="0.2">
      <c r="A77" s="30" t="s">
        <v>798</v>
      </c>
      <c r="B77" s="30" t="s">
        <v>799</v>
      </c>
      <c r="C77" s="32">
        <v>1135.2</v>
      </c>
      <c r="D77" s="32">
        <v>0</v>
      </c>
    </row>
    <row r="78" spans="1:4" x14ac:dyDescent="0.2">
      <c r="A78" s="30" t="s">
        <v>800</v>
      </c>
      <c r="B78" s="30" t="s">
        <v>162</v>
      </c>
      <c r="C78" s="32">
        <v>4100</v>
      </c>
      <c r="D78" s="32">
        <v>0</v>
      </c>
    </row>
    <row r="79" spans="1:4" x14ac:dyDescent="0.2">
      <c r="A79" s="30" t="s">
        <v>801</v>
      </c>
      <c r="B79" s="30" t="s">
        <v>802</v>
      </c>
      <c r="C79" s="32">
        <v>6254.09</v>
      </c>
      <c r="D79" s="32">
        <v>0</v>
      </c>
    </row>
    <row r="80" spans="1:4" x14ac:dyDescent="0.2">
      <c r="A80" s="30" t="s">
        <v>803</v>
      </c>
      <c r="B80" s="30" t="s">
        <v>804</v>
      </c>
      <c r="C80" s="32">
        <v>1000</v>
      </c>
      <c r="D80" s="32">
        <v>0</v>
      </c>
    </row>
    <row r="81" spans="1:4" x14ac:dyDescent="0.2">
      <c r="A81" s="30" t="s">
        <v>195</v>
      </c>
      <c r="B81" s="30" t="s">
        <v>126</v>
      </c>
      <c r="C81" s="32">
        <v>0</v>
      </c>
      <c r="D81" s="32">
        <v>240</v>
      </c>
    </row>
    <row r="82" spans="1:4" x14ac:dyDescent="0.2">
      <c r="A82" s="30" t="s">
        <v>204</v>
      </c>
      <c r="B82" s="30" t="s">
        <v>530</v>
      </c>
      <c r="C82" s="32">
        <v>5613.34</v>
      </c>
      <c r="D82" s="32">
        <v>6150</v>
      </c>
    </row>
    <row r="83" spans="1:4" x14ac:dyDescent="0.2">
      <c r="A83" s="30" t="s">
        <v>206</v>
      </c>
      <c r="B83" s="30" t="s">
        <v>134</v>
      </c>
      <c r="C83" s="32">
        <v>195</v>
      </c>
      <c r="D83" s="32">
        <v>350</v>
      </c>
    </row>
    <row r="84" spans="1:4" x14ac:dyDescent="0.2">
      <c r="A84" s="30" t="s">
        <v>208</v>
      </c>
      <c r="B84" s="30" t="s">
        <v>118</v>
      </c>
      <c r="C84" s="32">
        <v>1450.18</v>
      </c>
      <c r="D84" s="32">
        <v>1000</v>
      </c>
    </row>
    <row r="85" spans="1:4" x14ac:dyDescent="0.2">
      <c r="A85" s="30" t="s">
        <v>209</v>
      </c>
      <c r="B85" s="30" t="s">
        <v>120</v>
      </c>
      <c r="C85" s="32">
        <v>4826.3999999999996</v>
      </c>
      <c r="D85" s="32">
        <v>4500</v>
      </c>
    </row>
    <row r="86" spans="1:4" x14ac:dyDescent="0.2">
      <c r="A86" s="30" t="s">
        <v>538</v>
      </c>
      <c r="B86" s="30" t="s">
        <v>166</v>
      </c>
      <c r="C86" s="32">
        <v>66.900000000000006</v>
      </c>
      <c r="D86" s="32">
        <v>0</v>
      </c>
    </row>
    <row r="87" spans="1:4" x14ac:dyDescent="0.2">
      <c r="A87" s="30" t="s">
        <v>214</v>
      </c>
      <c r="B87" s="30" t="s">
        <v>126</v>
      </c>
      <c r="C87" s="32">
        <v>9810.32</v>
      </c>
      <c r="D87" s="32">
        <v>12000</v>
      </c>
    </row>
    <row r="88" spans="1:4" x14ac:dyDescent="0.2">
      <c r="A88" s="30" t="s">
        <v>212</v>
      </c>
      <c r="B88" s="30" t="s">
        <v>539</v>
      </c>
      <c r="C88" s="32">
        <v>5300.98</v>
      </c>
      <c r="D88" s="32">
        <v>4447</v>
      </c>
    </row>
    <row r="89" spans="1:4" x14ac:dyDescent="0.2">
      <c r="A89" s="30" t="s">
        <v>215</v>
      </c>
      <c r="B89" s="30" t="s">
        <v>216</v>
      </c>
      <c r="C89" s="32">
        <v>2033.84</v>
      </c>
      <c r="D89" s="32">
        <v>3000</v>
      </c>
    </row>
    <row r="90" spans="1:4" x14ac:dyDescent="0.2">
      <c r="A90" s="30" t="s">
        <v>217</v>
      </c>
      <c r="B90" s="30" t="s">
        <v>218</v>
      </c>
      <c r="C90" s="32">
        <v>1257.18</v>
      </c>
      <c r="D90" s="32">
        <v>1200</v>
      </c>
    </row>
    <row r="91" spans="1:4" x14ac:dyDescent="0.2">
      <c r="A91" s="30" t="s">
        <v>219</v>
      </c>
      <c r="B91" s="30" t="s">
        <v>220</v>
      </c>
      <c r="C91" s="32">
        <v>11000</v>
      </c>
      <c r="D91" s="32">
        <v>8500</v>
      </c>
    </row>
    <row r="92" spans="1:4" x14ac:dyDescent="0.2">
      <c r="A92" s="30" t="s">
        <v>221</v>
      </c>
      <c r="B92" s="30" t="s">
        <v>222</v>
      </c>
      <c r="C92" s="32">
        <v>388</v>
      </c>
      <c r="D92" s="32">
        <v>3000</v>
      </c>
    </row>
    <row r="93" spans="1:4" x14ac:dyDescent="0.2">
      <c r="A93" s="30" t="s">
        <v>234</v>
      </c>
      <c r="B93" s="30" t="s">
        <v>413</v>
      </c>
      <c r="C93" s="32">
        <v>0</v>
      </c>
      <c r="D93" s="32">
        <v>500</v>
      </c>
    </row>
    <row r="94" spans="1:4" x14ac:dyDescent="0.2">
      <c r="A94" s="30" t="s">
        <v>223</v>
      </c>
      <c r="B94" s="30" t="s">
        <v>224</v>
      </c>
      <c r="C94" s="32">
        <v>10083</v>
      </c>
      <c r="D94" s="32">
        <v>10000</v>
      </c>
    </row>
    <row r="95" spans="1:4" x14ac:dyDescent="0.2">
      <c r="A95" s="30" t="s">
        <v>225</v>
      </c>
      <c r="B95" s="30" t="s">
        <v>226</v>
      </c>
      <c r="C95" s="32">
        <v>19350</v>
      </c>
      <c r="D95" s="32">
        <v>17850</v>
      </c>
    </row>
    <row r="96" spans="1:4" x14ac:dyDescent="0.2">
      <c r="A96" s="30" t="s">
        <v>227</v>
      </c>
      <c r="B96" s="30" t="s">
        <v>203</v>
      </c>
      <c r="C96" s="32">
        <v>1433.85</v>
      </c>
      <c r="D96" s="32">
        <v>3000</v>
      </c>
    </row>
    <row r="97" spans="1:4" x14ac:dyDescent="0.2">
      <c r="A97" s="30" t="s">
        <v>264</v>
      </c>
      <c r="B97" s="30" t="s">
        <v>805</v>
      </c>
      <c r="C97" s="32">
        <v>22230.1</v>
      </c>
      <c r="D97" s="32">
        <v>10500</v>
      </c>
    </row>
    <row r="98" spans="1:4" x14ac:dyDescent="0.2">
      <c r="A98" s="30" t="s">
        <v>228</v>
      </c>
      <c r="B98" s="30" t="s">
        <v>542</v>
      </c>
      <c r="C98" s="32">
        <v>9350.2199999999993</v>
      </c>
      <c r="D98" s="32">
        <v>9495</v>
      </c>
    </row>
    <row r="99" spans="1:4" x14ac:dyDescent="0.2">
      <c r="A99" s="30" t="s">
        <v>243</v>
      </c>
      <c r="B99" s="30" t="s">
        <v>543</v>
      </c>
      <c r="C99" s="32">
        <v>15320.64</v>
      </c>
      <c r="D99" s="32">
        <v>15105</v>
      </c>
    </row>
    <row r="100" spans="1:4" x14ac:dyDescent="0.2">
      <c r="A100" s="30" t="s">
        <v>230</v>
      </c>
      <c r="B100" s="30" t="s">
        <v>231</v>
      </c>
      <c r="C100" s="32">
        <v>4917.9799999999996</v>
      </c>
      <c r="D100" s="32">
        <v>5100</v>
      </c>
    </row>
    <row r="101" spans="1:4" x14ac:dyDescent="0.2">
      <c r="A101" s="30" t="s">
        <v>232</v>
      </c>
      <c r="B101" s="30" t="s">
        <v>713</v>
      </c>
      <c r="C101" s="32">
        <v>0</v>
      </c>
      <c r="D101" s="32">
        <v>1500</v>
      </c>
    </row>
    <row r="102" spans="1:4" x14ac:dyDescent="0.2">
      <c r="A102" s="30" t="s">
        <v>546</v>
      </c>
      <c r="B102" s="30" t="s">
        <v>547</v>
      </c>
      <c r="C102" s="32">
        <v>49542.720000000001</v>
      </c>
      <c r="D102" s="32">
        <v>46000</v>
      </c>
    </row>
    <row r="103" spans="1:4" x14ac:dyDescent="0.2">
      <c r="A103" s="30" t="s">
        <v>235</v>
      </c>
      <c r="B103" s="30" t="s">
        <v>237</v>
      </c>
      <c r="C103" s="32">
        <v>6591.97</v>
      </c>
      <c r="D103" s="32">
        <v>6700</v>
      </c>
    </row>
    <row r="104" spans="1:4" x14ac:dyDescent="0.2">
      <c r="A104" s="30" t="s">
        <v>238</v>
      </c>
      <c r="B104" s="30" t="s">
        <v>239</v>
      </c>
      <c r="C104" s="32">
        <v>18886.07</v>
      </c>
      <c r="D104" s="32">
        <v>16000</v>
      </c>
    </row>
    <row r="105" spans="1:4" x14ac:dyDescent="0.2">
      <c r="A105" s="30" t="s">
        <v>245</v>
      </c>
      <c r="B105" s="30" t="s">
        <v>806</v>
      </c>
      <c r="C105" s="32">
        <v>33399.47</v>
      </c>
      <c r="D105" s="32">
        <v>35000</v>
      </c>
    </row>
    <row r="106" spans="1:4" x14ac:dyDescent="0.2">
      <c r="A106" s="30" t="s">
        <v>807</v>
      </c>
      <c r="B106" s="30" t="s">
        <v>381</v>
      </c>
      <c r="C106" s="32">
        <v>0</v>
      </c>
      <c r="D106" s="32">
        <v>500</v>
      </c>
    </row>
    <row r="107" spans="1:4" x14ac:dyDescent="0.2">
      <c r="A107" s="30" t="s">
        <v>240</v>
      </c>
      <c r="B107" s="30" t="s">
        <v>241</v>
      </c>
      <c r="C107" s="32">
        <v>20709.59</v>
      </c>
      <c r="D107" s="32">
        <v>20115</v>
      </c>
    </row>
    <row r="108" spans="1:4" x14ac:dyDescent="0.2">
      <c r="A108" s="30" t="s">
        <v>247</v>
      </c>
      <c r="B108" s="30" t="s">
        <v>248</v>
      </c>
      <c r="C108" s="32">
        <v>6460.28</v>
      </c>
      <c r="D108" s="32">
        <v>9875</v>
      </c>
    </row>
    <row r="109" spans="1:4" x14ac:dyDescent="0.2">
      <c r="A109" s="30" t="s">
        <v>254</v>
      </c>
      <c r="B109" s="30" t="s">
        <v>548</v>
      </c>
      <c r="C109" s="32">
        <v>33873.15</v>
      </c>
      <c r="D109" s="32">
        <v>28855</v>
      </c>
    </row>
    <row r="110" spans="1:4" x14ac:dyDescent="0.2">
      <c r="A110" s="30" t="s">
        <v>249</v>
      </c>
      <c r="B110" s="30" t="s">
        <v>549</v>
      </c>
      <c r="C110" s="32">
        <v>0</v>
      </c>
      <c r="D110" s="32">
        <v>1000</v>
      </c>
    </row>
    <row r="111" spans="1:4" x14ac:dyDescent="0.2">
      <c r="A111" s="30" t="s">
        <v>550</v>
      </c>
      <c r="B111" s="30" t="s">
        <v>551</v>
      </c>
      <c r="C111" s="32">
        <v>750</v>
      </c>
      <c r="D111" s="32">
        <v>0</v>
      </c>
    </row>
    <row r="112" spans="1:4" x14ac:dyDescent="0.2">
      <c r="A112" s="30" t="s">
        <v>252</v>
      </c>
      <c r="B112" s="30" t="s">
        <v>552</v>
      </c>
      <c r="C112" s="32">
        <v>1230.5999999999999</v>
      </c>
      <c r="D112" s="32">
        <v>1200</v>
      </c>
    </row>
    <row r="113" spans="1:4" x14ac:dyDescent="0.2">
      <c r="A113" s="30" t="s">
        <v>250</v>
      </c>
      <c r="B113" s="30" t="s">
        <v>251</v>
      </c>
      <c r="C113" s="32">
        <v>2388.9499999999998</v>
      </c>
      <c r="D113" s="32">
        <v>2700</v>
      </c>
    </row>
    <row r="114" spans="1:4" x14ac:dyDescent="0.2">
      <c r="A114" s="30" t="s">
        <v>256</v>
      </c>
      <c r="B114" s="30" t="s">
        <v>134</v>
      </c>
      <c r="C114" s="32">
        <v>15379.68</v>
      </c>
      <c r="D114" s="32">
        <v>15000</v>
      </c>
    </row>
    <row r="115" spans="1:4" x14ac:dyDescent="0.2">
      <c r="A115" s="30" t="s">
        <v>258</v>
      </c>
      <c r="B115" s="30" t="s">
        <v>553</v>
      </c>
      <c r="C115" s="32">
        <v>0</v>
      </c>
      <c r="D115" s="32">
        <v>2000</v>
      </c>
    </row>
    <row r="116" spans="1:4" x14ac:dyDescent="0.2">
      <c r="A116" s="30" t="s">
        <v>808</v>
      </c>
      <c r="B116" s="30" t="s">
        <v>809</v>
      </c>
      <c r="C116" s="32">
        <v>2023.15</v>
      </c>
      <c r="D116" s="32">
        <v>1500</v>
      </c>
    </row>
    <row r="117" spans="1:4" x14ac:dyDescent="0.2">
      <c r="A117" s="30" t="s">
        <v>266</v>
      </c>
      <c r="B117" s="30" t="s">
        <v>120</v>
      </c>
      <c r="C117" s="32">
        <v>1620.88</v>
      </c>
      <c r="D117" s="32">
        <v>4300</v>
      </c>
    </row>
    <row r="118" spans="1:4" x14ac:dyDescent="0.2">
      <c r="A118" s="30" t="s">
        <v>810</v>
      </c>
      <c r="B118" s="30" t="s">
        <v>811</v>
      </c>
      <c r="C118" s="32">
        <v>0</v>
      </c>
      <c r="D118" s="32">
        <v>3750</v>
      </c>
    </row>
    <row r="119" spans="1:4" x14ac:dyDescent="0.2">
      <c r="A119" s="30" t="s">
        <v>269</v>
      </c>
      <c r="B119" s="30" t="s">
        <v>242</v>
      </c>
      <c r="C119" s="32">
        <v>0</v>
      </c>
      <c r="D119" s="32">
        <v>1462.5</v>
      </c>
    </row>
    <row r="120" spans="1:4" x14ac:dyDescent="0.2">
      <c r="A120" s="30" t="s">
        <v>270</v>
      </c>
      <c r="B120" s="30" t="s">
        <v>556</v>
      </c>
      <c r="C120" s="32">
        <v>240</v>
      </c>
      <c r="D120" s="32">
        <v>275</v>
      </c>
    </row>
    <row r="121" spans="1:4" x14ac:dyDescent="0.2">
      <c r="A121" s="30" t="s">
        <v>272</v>
      </c>
      <c r="B121" s="30" t="s">
        <v>134</v>
      </c>
      <c r="C121" s="32">
        <v>1716.88</v>
      </c>
      <c r="D121" s="32">
        <v>1015</v>
      </c>
    </row>
    <row r="122" spans="1:4" x14ac:dyDescent="0.2">
      <c r="A122" s="30" t="s">
        <v>274</v>
      </c>
      <c r="B122" s="30" t="s">
        <v>126</v>
      </c>
      <c r="C122" s="32">
        <v>443.18</v>
      </c>
      <c r="D122" s="32">
        <v>1200</v>
      </c>
    </row>
    <row r="123" spans="1:4" x14ac:dyDescent="0.2">
      <c r="A123" s="30" t="s">
        <v>275</v>
      </c>
      <c r="B123" s="30" t="s">
        <v>304</v>
      </c>
      <c r="C123" s="32">
        <v>4930.8599999999997</v>
      </c>
      <c r="D123" s="32">
        <v>3750</v>
      </c>
    </row>
    <row r="124" spans="1:4" x14ac:dyDescent="0.2">
      <c r="A124" s="30" t="s">
        <v>282</v>
      </c>
      <c r="B124" s="30" t="s">
        <v>126</v>
      </c>
      <c r="C124" s="32">
        <v>636.94000000000005</v>
      </c>
      <c r="D124" s="32">
        <v>1245</v>
      </c>
    </row>
    <row r="125" spans="1:4" x14ac:dyDescent="0.2">
      <c r="A125" s="30" t="s">
        <v>286</v>
      </c>
      <c r="B125" s="30" t="s">
        <v>287</v>
      </c>
      <c r="C125" s="32">
        <v>431.24</v>
      </c>
      <c r="D125" s="32">
        <v>500</v>
      </c>
    </row>
    <row r="126" spans="1:4" x14ac:dyDescent="0.2">
      <c r="A126" s="30" t="s">
        <v>288</v>
      </c>
      <c r="B126" s="30" t="s">
        <v>289</v>
      </c>
      <c r="C126" s="32">
        <v>13258.44</v>
      </c>
      <c r="D126" s="32">
        <v>14500</v>
      </c>
    </row>
    <row r="127" spans="1:4" x14ac:dyDescent="0.2">
      <c r="A127" s="30" t="s">
        <v>306</v>
      </c>
      <c r="B127" s="30" t="s">
        <v>126</v>
      </c>
      <c r="C127" s="32">
        <v>0</v>
      </c>
      <c r="D127" s="32">
        <v>900</v>
      </c>
    </row>
    <row r="128" spans="1:4" x14ac:dyDescent="0.2">
      <c r="A128" s="30" t="s">
        <v>312</v>
      </c>
      <c r="B128" s="30" t="s">
        <v>120</v>
      </c>
      <c r="C128" s="32">
        <v>0</v>
      </c>
      <c r="D128" s="32">
        <v>1035</v>
      </c>
    </row>
    <row r="129" spans="1:4" x14ac:dyDescent="0.2">
      <c r="A129" s="30" t="s">
        <v>315</v>
      </c>
      <c r="B129" s="30" t="s">
        <v>126</v>
      </c>
      <c r="C129" s="32">
        <v>1617.84</v>
      </c>
      <c r="D129" s="32">
        <v>1800</v>
      </c>
    </row>
    <row r="130" spans="1:4" x14ac:dyDescent="0.2">
      <c r="A130" s="30" t="s">
        <v>316</v>
      </c>
      <c r="B130" s="30" t="s">
        <v>812</v>
      </c>
      <c r="C130" s="32">
        <v>500</v>
      </c>
      <c r="D130" s="32">
        <v>0</v>
      </c>
    </row>
    <row r="131" spans="1:4" x14ac:dyDescent="0.2">
      <c r="A131" s="30" t="s">
        <v>335</v>
      </c>
      <c r="B131" s="30" t="s">
        <v>126</v>
      </c>
      <c r="C131" s="32">
        <v>476.45</v>
      </c>
      <c r="D131" s="32">
        <v>600</v>
      </c>
    </row>
    <row r="132" spans="1:4" x14ac:dyDescent="0.2">
      <c r="A132" s="30" t="s">
        <v>340</v>
      </c>
      <c r="B132" s="30" t="s">
        <v>120</v>
      </c>
      <c r="C132" s="32">
        <v>43.2</v>
      </c>
      <c r="D132" s="32">
        <v>0</v>
      </c>
    </row>
    <row r="133" spans="1:4" x14ac:dyDescent="0.2">
      <c r="A133" s="30" t="s">
        <v>342</v>
      </c>
      <c r="B133" s="30" t="s">
        <v>126</v>
      </c>
      <c r="C133" s="32">
        <v>5742.94</v>
      </c>
      <c r="D133" s="32">
        <v>4950</v>
      </c>
    </row>
    <row r="134" spans="1:4" x14ac:dyDescent="0.2">
      <c r="A134" s="30" t="s">
        <v>343</v>
      </c>
      <c r="B134" s="30" t="s">
        <v>344</v>
      </c>
      <c r="C134" s="32">
        <v>3341.58</v>
      </c>
      <c r="D134" s="32">
        <v>6975</v>
      </c>
    </row>
    <row r="135" spans="1:4" x14ac:dyDescent="0.2">
      <c r="A135" s="30" t="s">
        <v>345</v>
      </c>
      <c r="B135" s="30" t="s">
        <v>346</v>
      </c>
      <c r="C135" s="32">
        <v>6337.73</v>
      </c>
      <c r="D135" s="32">
        <v>5000</v>
      </c>
    </row>
    <row r="136" spans="1:4" x14ac:dyDescent="0.2">
      <c r="A136" s="30" t="s">
        <v>347</v>
      </c>
      <c r="B136" s="30" t="s">
        <v>203</v>
      </c>
      <c r="C136" s="32">
        <v>284.82</v>
      </c>
      <c r="D136" s="32">
        <v>100</v>
      </c>
    </row>
    <row r="137" spans="1:4" x14ac:dyDescent="0.2">
      <c r="A137" s="30" t="s">
        <v>348</v>
      </c>
      <c r="B137" s="30" t="s">
        <v>349</v>
      </c>
      <c r="C137" s="32">
        <v>1966.93</v>
      </c>
      <c r="D137" s="32">
        <v>1350</v>
      </c>
    </row>
    <row r="138" spans="1:4" x14ac:dyDescent="0.2">
      <c r="A138" s="30" t="s">
        <v>354</v>
      </c>
      <c r="B138" s="30" t="s">
        <v>126</v>
      </c>
      <c r="C138" s="32">
        <v>2387.46</v>
      </c>
      <c r="D138" s="32">
        <v>1100</v>
      </c>
    </row>
    <row r="139" spans="1:4" x14ac:dyDescent="0.2">
      <c r="A139" s="30" t="s">
        <v>355</v>
      </c>
      <c r="B139" s="30" t="s">
        <v>356</v>
      </c>
      <c r="C139" s="32">
        <v>7333.82</v>
      </c>
      <c r="D139" s="32">
        <v>5000</v>
      </c>
    </row>
    <row r="140" spans="1:4" x14ac:dyDescent="0.2">
      <c r="A140" s="30" t="s">
        <v>357</v>
      </c>
      <c r="B140" s="30" t="s">
        <v>640</v>
      </c>
      <c r="C140" s="32">
        <v>7728.51</v>
      </c>
      <c r="D140" s="32">
        <v>5000</v>
      </c>
    </row>
    <row r="141" spans="1:4" x14ac:dyDescent="0.2">
      <c r="A141" s="30" t="s">
        <v>358</v>
      </c>
      <c r="B141" s="30" t="s">
        <v>359</v>
      </c>
      <c r="C141" s="32">
        <v>20000</v>
      </c>
      <c r="D141" s="32">
        <v>20000</v>
      </c>
    </row>
    <row r="142" spans="1:4" x14ac:dyDescent="0.2">
      <c r="A142" s="30" t="s">
        <v>360</v>
      </c>
      <c r="B142" s="30" t="s">
        <v>344</v>
      </c>
      <c r="C142" s="32">
        <v>11173.45</v>
      </c>
      <c r="D142" s="32">
        <v>8000</v>
      </c>
    </row>
    <row r="143" spans="1:4" x14ac:dyDescent="0.2">
      <c r="A143" s="30" t="s">
        <v>361</v>
      </c>
      <c r="B143" s="30" t="s">
        <v>362</v>
      </c>
      <c r="C143" s="32">
        <v>36708.75</v>
      </c>
      <c r="D143" s="32">
        <v>16500</v>
      </c>
    </row>
    <row r="144" spans="1:4" x14ac:dyDescent="0.2">
      <c r="A144" s="30" t="s">
        <v>363</v>
      </c>
      <c r="B144" s="30" t="s">
        <v>645</v>
      </c>
      <c r="C144" s="32">
        <v>0</v>
      </c>
      <c r="D144" s="32">
        <v>3000</v>
      </c>
    </row>
    <row r="145" spans="1:4" x14ac:dyDescent="0.2">
      <c r="A145" s="30" t="s">
        <v>370</v>
      </c>
      <c r="B145" s="30" t="s">
        <v>346</v>
      </c>
      <c r="C145" s="32">
        <v>4345</v>
      </c>
      <c r="D145" s="32">
        <v>9100</v>
      </c>
    </row>
    <row r="146" spans="1:4" x14ac:dyDescent="0.2">
      <c r="A146" s="30" t="s">
        <v>371</v>
      </c>
      <c r="B146" s="30" t="s">
        <v>653</v>
      </c>
      <c r="C146" s="32">
        <v>0</v>
      </c>
      <c r="D146" s="32">
        <v>500</v>
      </c>
    </row>
    <row r="147" spans="1:4" x14ac:dyDescent="0.2">
      <c r="A147" s="30" t="s">
        <v>373</v>
      </c>
      <c r="B147" s="30" t="s">
        <v>655</v>
      </c>
      <c r="C147" s="32">
        <v>1635</v>
      </c>
      <c r="D147" s="32">
        <v>4400</v>
      </c>
    </row>
    <row r="148" spans="1:4" x14ac:dyDescent="0.2">
      <c r="A148" s="30" t="s">
        <v>377</v>
      </c>
      <c r="B148" s="30" t="s">
        <v>120</v>
      </c>
      <c r="C148" s="32">
        <v>0</v>
      </c>
      <c r="D148" s="32">
        <v>1760</v>
      </c>
    </row>
    <row r="149" spans="1:4" x14ac:dyDescent="0.2">
      <c r="A149" s="30" t="s">
        <v>380</v>
      </c>
      <c r="B149" s="30" t="s">
        <v>381</v>
      </c>
      <c r="C149" s="32">
        <v>0</v>
      </c>
      <c r="D149" s="32">
        <v>1400</v>
      </c>
    </row>
    <row r="150" spans="1:4" x14ac:dyDescent="0.2">
      <c r="A150" s="30" t="s">
        <v>382</v>
      </c>
      <c r="B150" s="30" t="s">
        <v>134</v>
      </c>
      <c r="C150" s="32">
        <v>693.4</v>
      </c>
      <c r="D150" s="32">
        <v>840</v>
      </c>
    </row>
    <row r="151" spans="1:4" x14ac:dyDescent="0.2">
      <c r="A151" s="30" t="s">
        <v>386</v>
      </c>
      <c r="B151" s="30" t="s">
        <v>120</v>
      </c>
      <c r="C151" s="32">
        <v>5162.9399999999996</v>
      </c>
      <c r="D151" s="32">
        <v>3510</v>
      </c>
    </row>
    <row r="152" spans="1:4" x14ac:dyDescent="0.2">
      <c r="A152" s="30" t="s">
        <v>389</v>
      </c>
      <c r="B152" s="30" t="s">
        <v>381</v>
      </c>
      <c r="C152" s="32">
        <v>0</v>
      </c>
      <c r="D152" s="32">
        <v>1550</v>
      </c>
    </row>
    <row r="153" spans="1:4" x14ac:dyDescent="0.2">
      <c r="A153" s="30" t="s">
        <v>667</v>
      </c>
      <c r="B153" s="30" t="s">
        <v>134</v>
      </c>
      <c r="C153" s="32">
        <v>4786.91</v>
      </c>
      <c r="D153" s="32">
        <v>1565</v>
      </c>
    </row>
    <row r="154" spans="1:4" x14ac:dyDescent="0.2">
      <c r="A154" s="30" t="s">
        <v>393</v>
      </c>
      <c r="B154" s="30" t="s">
        <v>118</v>
      </c>
      <c r="C154" s="32">
        <v>458.49</v>
      </c>
      <c r="D154" s="32">
        <v>575</v>
      </c>
    </row>
    <row r="155" spans="1:4" x14ac:dyDescent="0.2">
      <c r="A155" s="30" t="s">
        <v>398</v>
      </c>
      <c r="B155" s="30" t="s">
        <v>126</v>
      </c>
      <c r="C155" s="32">
        <v>1839.76</v>
      </c>
      <c r="D155" s="32">
        <v>2870</v>
      </c>
    </row>
    <row r="156" spans="1:4" x14ac:dyDescent="0.2">
      <c r="A156" s="30" t="s">
        <v>400</v>
      </c>
      <c r="B156" s="30" t="s">
        <v>655</v>
      </c>
      <c r="C156" s="32">
        <v>4457.62</v>
      </c>
      <c r="D156" s="32">
        <v>2247</v>
      </c>
    </row>
    <row r="157" spans="1:4" x14ac:dyDescent="0.2">
      <c r="A157" s="30" t="s">
        <v>397</v>
      </c>
      <c r="B157" s="30" t="s">
        <v>224</v>
      </c>
      <c r="C157" s="32">
        <v>6619.17</v>
      </c>
      <c r="D157" s="32">
        <v>3241</v>
      </c>
    </row>
    <row r="158" spans="1:4" x14ac:dyDescent="0.2">
      <c r="A158" s="30" t="s">
        <v>405</v>
      </c>
      <c r="B158" s="30" t="s">
        <v>134</v>
      </c>
      <c r="C158" s="32">
        <v>2287.21</v>
      </c>
      <c r="D158" s="32">
        <v>3070</v>
      </c>
    </row>
    <row r="159" spans="1:4" x14ac:dyDescent="0.2">
      <c r="A159" s="30" t="s">
        <v>813</v>
      </c>
      <c r="B159" s="30" t="s">
        <v>814</v>
      </c>
      <c r="C159" s="32">
        <v>3293.32</v>
      </c>
      <c r="D159" s="32">
        <v>9756</v>
      </c>
    </row>
    <row r="160" spans="1:4" x14ac:dyDescent="0.2">
      <c r="A160" s="30" t="s">
        <v>407</v>
      </c>
      <c r="B160" s="30" t="s">
        <v>683</v>
      </c>
      <c r="C160" s="32">
        <v>1955.76</v>
      </c>
      <c r="D160" s="32">
        <v>1000</v>
      </c>
    </row>
    <row r="161" spans="1:4" x14ac:dyDescent="0.2">
      <c r="A161" s="30" t="s">
        <v>411</v>
      </c>
      <c r="B161" s="30" t="s">
        <v>120</v>
      </c>
      <c r="C161" s="32">
        <v>7261.98</v>
      </c>
      <c r="D161" s="32">
        <v>10500</v>
      </c>
    </row>
    <row r="162" spans="1:4" x14ac:dyDescent="0.2">
      <c r="A162" s="30" t="s">
        <v>412</v>
      </c>
      <c r="B162" s="30" t="s">
        <v>413</v>
      </c>
      <c r="C162" s="32">
        <v>943.75</v>
      </c>
      <c r="D162" s="32">
        <v>2575</v>
      </c>
    </row>
    <row r="163" spans="1:4" x14ac:dyDescent="0.2">
      <c r="A163" s="30" t="s">
        <v>414</v>
      </c>
      <c r="B163" s="30" t="s">
        <v>224</v>
      </c>
      <c r="C163" s="32">
        <v>13893.25</v>
      </c>
      <c r="D163" s="32">
        <v>12350</v>
      </c>
    </row>
    <row r="164" spans="1:4" x14ac:dyDescent="0.2">
      <c r="A164" s="30" t="s">
        <v>415</v>
      </c>
      <c r="B164" s="30" t="s">
        <v>381</v>
      </c>
      <c r="C164" s="32">
        <v>386.59</v>
      </c>
      <c r="D164" s="32">
        <v>310</v>
      </c>
    </row>
    <row r="165" spans="1:4" x14ac:dyDescent="0.2">
      <c r="A165" s="30" t="s">
        <v>416</v>
      </c>
      <c r="B165" s="30" t="s">
        <v>134</v>
      </c>
      <c r="C165" s="32">
        <v>20515</v>
      </c>
      <c r="D165" s="32">
        <v>22400</v>
      </c>
    </row>
    <row r="166" spans="1:4" x14ac:dyDescent="0.2">
      <c r="A166" s="30" t="s">
        <v>815</v>
      </c>
      <c r="B166" s="30" t="s">
        <v>816</v>
      </c>
      <c r="C166" s="32">
        <v>300</v>
      </c>
      <c r="D166" s="32">
        <v>748</v>
      </c>
    </row>
    <row r="167" spans="1:4" x14ac:dyDescent="0.2">
      <c r="A167" s="30" t="s">
        <v>707</v>
      </c>
      <c r="B167" s="30" t="s">
        <v>708</v>
      </c>
      <c r="C167" s="32">
        <v>1000</v>
      </c>
      <c r="D167" s="32">
        <v>0</v>
      </c>
    </row>
    <row r="168" spans="1:4" x14ac:dyDescent="0.2">
      <c r="A168" s="30" t="s">
        <v>113</v>
      </c>
      <c r="B168" s="30" t="s">
        <v>817</v>
      </c>
      <c r="C168" s="32">
        <v>0</v>
      </c>
      <c r="D168" s="32">
        <v>0</v>
      </c>
    </row>
    <row r="169" spans="1:4" customFormat="1" ht="15" x14ac:dyDescent="0.25">
      <c r="A169" s="33"/>
      <c r="B169" s="33"/>
      <c r="C169" s="34"/>
      <c r="D169" s="34"/>
    </row>
    <row r="170" spans="1:4" x14ac:dyDescent="0.2">
      <c r="A170" s="30" t="s">
        <v>113</v>
      </c>
      <c r="B170" s="30" t="s">
        <v>709</v>
      </c>
      <c r="C170" s="32">
        <f>ROUND(SUBTOTAL(9, C44:C169), 5)</f>
        <v>1151615.27</v>
      </c>
      <c r="D170" s="32">
        <f>ROUND(SUBTOTAL(9, D44:D169), 5)</f>
        <v>1124599.3700000001</v>
      </c>
    </row>
    <row r="171" spans="1:4" customFormat="1" ht="15" x14ac:dyDescent="0.25">
      <c r="A171" s="33"/>
      <c r="B171" s="33"/>
      <c r="C171" s="34"/>
      <c r="D171" s="34"/>
    </row>
    <row r="172" spans="1:4" ht="13.5" thickBot="1" x14ac:dyDescent="0.25">
      <c r="A172" s="30" t="s">
        <v>113</v>
      </c>
      <c r="B172" s="30" t="s">
        <v>710</v>
      </c>
      <c r="C172" s="31">
        <f>-(ROUND(-C42+C170, 5))</f>
        <v>332446.53000000003</v>
      </c>
      <c r="D172" s="32">
        <f>-(ROUND(-D42+D170, 5))</f>
        <v>103210.08</v>
      </c>
    </row>
    <row r="173" spans="1:4" customFormat="1" ht="16.5" thickTop="1" thickBot="1" x14ac:dyDescent="0.3">
      <c r="A173" s="35"/>
      <c r="B173" s="35"/>
      <c r="C173" s="36"/>
      <c r="D173" s="3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Draft 2021 Budget</vt:lpstr>
      <vt:lpstr>One Page</vt:lpstr>
      <vt:lpstr>Audit Dashboard 63017</vt:lpstr>
      <vt:lpstr>Audit Program 63017</vt:lpstr>
      <vt:lpstr>Audit_Actual 63017</vt:lpstr>
      <vt:lpstr>MAR_YTD_ACTUAL 4717</vt:lpstr>
      <vt:lpstr>'Audit Dashboard 63017'!Print_Area</vt:lpstr>
      <vt:lpstr>'Draft 2021 Budget'!Print_Area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Sylvia McGhee</dc:creator>
  <cp:lastModifiedBy>Bethany Hawkins</cp:lastModifiedBy>
  <cp:lastPrinted>2020-04-23T19:58:43Z</cp:lastPrinted>
  <dcterms:created xsi:type="dcterms:W3CDTF">2016-07-07T15:58:12Z</dcterms:created>
  <dcterms:modified xsi:type="dcterms:W3CDTF">2020-07-20T13:35:43Z</dcterms:modified>
</cp:coreProperties>
</file>