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160"/>
  </bookViews>
  <sheets>
    <sheet name="Budget vs. Actuals" sheetId="1" r:id="rId1"/>
  </sheets>
  <calcPr calcId="145621"/>
  <fileRecoveryPr repairLoad="1"/>
</workbook>
</file>

<file path=xl/calcChain.xml><?xml version="1.0" encoding="utf-8"?>
<calcChain xmlns="http://schemas.openxmlformats.org/spreadsheetml/2006/main">
  <c r="F109" i="1" l="1"/>
  <c r="F104" i="1"/>
  <c r="F98" i="1"/>
  <c r="F94" i="1"/>
  <c r="F99" i="1" s="1"/>
  <c r="F89" i="1"/>
  <c r="F78" i="1"/>
  <c r="F66" i="1"/>
  <c r="F62" i="1"/>
  <c r="F58" i="1"/>
  <c r="F53" i="1"/>
  <c r="F49" i="1"/>
  <c r="F42" i="1"/>
  <c r="F29" i="1"/>
  <c r="F25" i="1"/>
  <c r="F19" i="1"/>
  <c r="F14" i="1"/>
  <c r="F15" i="1" s="1"/>
  <c r="C108" i="1"/>
  <c r="D108" i="1" s="1"/>
  <c r="C107" i="1"/>
  <c r="C102" i="1"/>
  <c r="D102" i="1" s="1"/>
  <c r="C101" i="1"/>
  <c r="C96" i="1"/>
  <c r="C93" i="1"/>
  <c r="C92" i="1"/>
  <c r="D92" i="1" s="1"/>
  <c r="C81" i="1"/>
  <c r="D81" i="1" s="1"/>
  <c r="C82" i="1"/>
  <c r="D82" i="1" s="1"/>
  <c r="C83" i="1"/>
  <c r="C84" i="1"/>
  <c r="D84" i="1" s="1"/>
  <c r="C85" i="1"/>
  <c r="D85" i="1" s="1"/>
  <c r="C86" i="1"/>
  <c r="D86" i="1" s="1"/>
  <c r="C88" i="1"/>
  <c r="D88" i="1" s="1"/>
  <c r="C80" i="1"/>
  <c r="D80" i="1" s="1"/>
  <c r="C71" i="1"/>
  <c r="D71" i="1" s="1"/>
  <c r="C72" i="1"/>
  <c r="D72" i="1" s="1"/>
  <c r="C73" i="1"/>
  <c r="D73" i="1" s="1"/>
  <c r="C74" i="1"/>
  <c r="D74" i="1" s="1"/>
  <c r="C77" i="1"/>
  <c r="D77" i="1" s="1"/>
  <c r="C69" i="1"/>
  <c r="D69" i="1" s="1"/>
  <c r="C68" i="1"/>
  <c r="C65" i="1"/>
  <c r="D65" i="1" s="1"/>
  <c r="C64" i="1"/>
  <c r="C61" i="1"/>
  <c r="C60" i="1"/>
  <c r="D60" i="1" s="1"/>
  <c r="C57" i="1"/>
  <c r="D57" i="1" s="1"/>
  <c r="C52" i="1"/>
  <c r="C46" i="1"/>
  <c r="D46" i="1" s="1"/>
  <c r="C47" i="1"/>
  <c r="D47" i="1" s="1"/>
  <c r="C48" i="1"/>
  <c r="D48" i="1" s="1"/>
  <c r="C44" i="1"/>
  <c r="C36" i="1"/>
  <c r="D36" i="1" s="1"/>
  <c r="C37" i="1"/>
  <c r="D37" i="1" s="1"/>
  <c r="C38" i="1"/>
  <c r="D38" i="1" s="1"/>
  <c r="C41" i="1"/>
  <c r="D41" i="1" s="1"/>
  <c r="C35" i="1"/>
  <c r="D35" i="1" s="1"/>
  <c r="C34" i="1"/>
  <c r="C28" i="1"/>
  <c r="D28" i="1" s="1"/>
  <c r="C27" i="1"/>
  <c r="D27" i="1" s="1"/>
  <c r="C22" i="1"/>
  <c r="D22" i="1" s="1"/>
  <c r="C21" i="1"/>
  <c r="D21" i="1" s="1"/>
  <c r="C18" i="1"/>
  <c r="D18" i="1" s="1"/>
  <c r="C17" i="1"/>
  <c r="C12" i="1"/>
  <c r="D12" i="1" s="1"/>
  <c r="C13" i="1"/>
  <c r="D13" i="1" s="1"/>
  <c r="C10" i="1"/>
  <c r="E44" i="1"/>
  <c r="E108" i="1"/>
  <c r="E107" i="1"/>
  <c r="E103" i="1"/>
  <c r="E102" i="1"/>
  <c r="E101" i="1"/>
  <c r="E97" i="1"/>
  <c r="E96" i="1"/>
  <c r="E93" i="1"/>
  <c r="E92" i="1"/>
  <c r="E88" i="1"/>
  <c r="E86" i="1"/>
  <c r="E85" i="1"/>
  <c r="E84" i="1"/>
  <c r="E83" i="1"/>
  <c r="E82" i="1"/>
  <c r="E81" i="1"/>
  <c r="E80" i="1"/>
  <c r="E77" i="1"/>
  <c r="E75" i="1"/>
  <c r="E74" i="1"/>
  <c r="E73" i="1"/>
  <c r="E72" i="1"/>
  <c r="E71" i="1"/>
  <c r="E70" i="1"/>
  <c r="E69" i="1"/>
  <c r="E68" i="1"/>
  <c r="E65" i="1"/>
  <c r="E64" i="1"/>
  <c r="E61" i="1"/>
  <c r="E60" i="1"/>
  <c r="E57" i="1"/>
  <c r="E56" i="1"/>
  <c r="E55" i="1"/>
  <c r="E52" i="1"/>
  <c r="E51" i="1"/>
  <c r="E48" i="1"/>
  <c r="E47" i="1"/>
  <c r="E46" i="1"/>
  <c r="E45" i="1"/>
  <c r="E41" i="1"/>
  <c r="E39" i="1"/>
  <c r="E38" i="1"/>
  <c r="E37" i="1"/>
  <c r="E36" i="1"/>
  <c r="E34" i="1"/>
  <c r="E28" i="1"/>
  <c r="E27" i="1"/>
  <c r="E23" i="1"/>
  <c r="E22" i="1"/>
  <c r="E21" i="1"/>
  <c r="E18" i="1"/>
  <c r="E17" i="1"/>
  <c r="E13" i="1"/>
  <c r="E12" i="1"/>
  <c r="E11" i="1"/>
  <c r="E10" i="1"/>
  <c r="E9" i="1"/>
  <c r="B103" i="1"/>
  <c r="C103" i="1" s="1"/>
  <c r="B97" i="1"/>
  <c r="C97" i="1" s="1"/>
  <c r="D93" i="1"/>
  <c r="D83" i="1"/>
  <c r="B75" i="1"/>
  <c r="B70" i="1"/>
  <c r="C70" i="1" s="1"/>
  <c r="B66" i="1"/>
  <c r="D61" i="1"/>
  <c r="B56" i="1"/>
  <c r="C56" i="1" s="1"/>
  <c r="B55" i="1"/>
  <c r="C55" i="1" s="1"/>
  <c r="B53" i="1"/>
  <c r="B45" i="1"/>
  <c r="C45" i="1" s="1"/>
  <c r="D44" i="1"/>
  <c r="B39" i="1"/>
  <c r="C39" i="1" s="1"/>
  <c r="B24" i="1"/>
  <c r="C24" i="1" s="1"/>
  <c r="B23" i="1"/>
  <c r="C23" i="1" s="1"/>
  <c r="B11" i="1"/>
  <c r="F30" i="1" l="1"/>
  <c r="F31" i="1" s="1"/>
  <c r="F110" i="1"/>
  <c r="F111" i="1"/>
  <c r="D24" i="1"/>
  <c r="D45" i="1"/>
  <c r="D49" i="1" s="1"/>
  <c r="D56" i="1"/>
  <c r="D70" i="1"/>
  <c r="D103" i="1"/>
  <c r="E94" i="1"/>
  <c r="E19" i="1"/>
  <c r="C11" i="1"/>
  <c r="D11" i="1" s="1"/>
  <c r="C75" i="1"/>
  <c r="D75" i="1" s="1"/>
  <c r="D97" i="1"/>
  <c r="D23" i="1"/>
  <c r="D39" i="1"/>
  <c r="D94" i="1"/>
  <c r="D62" i="1"/>
  <c r="C19" i="1"/>
  <c r="E49" i="1"/>
  <c r="B98" i="1"/>
  <c r="B109" i="1"/>
  <c r="E29" i="1"/>
  <c r="D34" i="1"/>
  <c r="D42" i="1" s="1"/>
  <c r="C42" i="1"/>
  <c r="D55" i="1"/>
  <c r="C58" i="1"/>
  <c r="D89" i="1"/>
  <c r="D68" i="1"/>
  <c r="D101" i="1"/>
  <c r="C104" i="1"/>
  <c r="C62" i="1"/>
  <c r="E14" i="1"/>
  <c r="E15" i="1" s="1"/>
  <c r="E89" i="1"/>
  <c r="E109" i="1"/>
  <c r="C49" i="1"/>
  <c r="C94" i="1"/>
  <c r="E58" i="1"/>
  <c r="E66" i="1"/>
  <c r="C89" i="1"/>
  <c r="D10" i="1"/>
  <c r="D29" i="1"/>
  <c r="B29" i="1"/>
  <c r="E53" i="1"/>
  <c r="E104" i="1"/>
  <c r="B58" i="1"/>
  <c r="E25" i="1"/>
  <c r="E42" i="1"/>
  <c r="E62" i="1"/>
  <c r="E78" i="1"/>
  <c r="E98" i="1"/>
  <c r="E99" i="1" s="1"/>
  <c r="C29" i="1"/>
  <c r="C25" i="1"/>
  <c r="D17" i="1"/>
  <c r="D19" i="1" s="1"/>
  <c r="B42" i="1"/>
  <c r="B78" i="1"/>
  <c r="B62" i="1"/>
  <c r="B49" i="1"/>
  <c r="B25" i="1"/>
  <c r="B14" i="1"/>
  <c r="B15" i="1" s="1"/>
  <c r="B19" i="1"/>
  <c r="B89" i="1"/>
  <c r="B94" i="1"/>
  <c r="B99" i="1" s="1"/>
  <c r="B104" i="1"/>
  <c r="D14" i="1" l="1"/>
  <c r="D15" i="1" s="1"/>
  <c r="C14" i="1"/>
  <c r="C15" i="1" s="1"/>
  <c r="C30" i="1" s="1"/>
  <c r="C31" i="1" s="1"/>
  <c r="D25" i="1"/>
  <c r="E110" i="1"/>
  <c r="D104" i="1"/>
  <c r="C78" i="1"/>
  <c r="D58" i="1"/>
  <c r="D78" i="1"/>
  <c r="E30" i="1"/>
  <c r="E31" i="1" s="1"/>
  <c r="D107" i="1"/>
  <c r="D109" i="1" s="1"/>
  <c r="C109" i="1"/>
  <c r="B30" i="1"/>
  <c r="B31" i="1" s="1"/>
  <c r="C53" i="1"/>
  <c r="D52" i="1"/>
  <c r="D53" i="1" s="1"/>
  <c r="D96" i="1"/>
  <c r="D98" i="1" s="1"/>
  <c r="D99" i="1" s="1"/>
  <c r="C98" i="1"/>
  <c r="C99" i="1" s="1"/>
  <c r="D64" i="1"/>
  <c r="D66" i="1" s="1"/>
  <c r="C66" i="1"/>
  <c r="B110" i="1"/>
  <c r="D30" i="1" l="1"/>
  <c r="D31" i="1" s="1"/>
  <c r="E111" i="1"/>
  <c r="C110" i="1"/>
  <c r="C111" i="1" s="1"/>
  <c r="D110" i="1"/>
  <c r="B111" i="1"/>
  <c r="D111" i="1" l="1"/>
</calcChain>
</file>

<file path=xl/sharedStrings.xml><?xml version="1.0" encoding="utf-8"?>
<sst xmlns="http://schemas.openxmlformats.org/spreadsheetml/2006/main" count="142" uniqueCount="140">
  <si>
    <t>Income</t>
  </si>
  <si>
    <t xml:space="preserve">   Contributions Income</t>
  </si>
  <si>
    <t xml:space="preserve">      Annual Campaign</t>
  </si>
  <si>
    <t xml:space="preserve">         Grants-Corporations</t>
  </si>
  <si>
    <t xml:space="preserve">         Grants-Foundations</t>
  </si>
  <si>
    <t xml:space="preserve">         Grants-Government</t>
  </si>
  <si>
    <t xml:space="preserve">         Grants-UWGN-Metro</t>
  </si>
  <si>
    <t xml:space="preserve">         Individuals</t>
  </si>
  <si>
    <t xml:space="preserve">      Total Annual Campaign</t>
  </si>
  <si>
    <t xml:space="preserve">   Total Contributions Income</t>
  </si>
  <si>
    <t xml:space="preserve">   Other Income</t>
  </si>
  <si>
    <t xml:space="preserve">      Child Care Food Program</t>
  </si>
  <si>
    <t xml:space="preserve">   Total Other Income</t>
  </si>
  <si>
    <t xml:space="preserve">   Program Service Fees</t>
  </si>
  <si>
    <t xml:space="preserve">      Program Service Fees-Client</t>
  </si>
  <si>
    <t xml:space="preserve">      Program Service Fees-Govt</t>
  </si>
  <si>
    <t xml:space="preserve">      Registration Fees</t>
  </si>
  <si>
    <t xml:space="preserve">      School Age Fees</t>
  </si>
  <si>
    <t xml:space="preserve">   Total Program Service Fees</t>
  </si>
  <si>
    <t xml:space="preserve">   Special Events</t>
  </si>
  <si>
    <t xml:space="preserve">      Additional Fundraiser</t>
  </si>
  <si>
    <t xml:space="preserve">      Year End Appeal</t>
  </si>
  <si>
    <t xml:space="preserve">   Total Special Events</t>
  </si>
  <si>
    <t>Total Income</t>
  </si>
  <si>
    <t>Gross Profit</t>
  </si>
  <si>
    <t>Expenses</t>
  </si>
  <si>
    <t xml:space="preserve">   Additional Expense</t>
  </si>
  <si>
    <t xml:space="preserve">      Benefits-Health Insurance</t>
  </si>
  <si>
    <t xml:space="preserve">      Benefits-Life Insurance</t>
  </si>
  <si>
    <t xml:space="preserve">      Benefits-Retirement</t>
  </si>
  <si>
    <t xml:space="preserve">      Marketing/Sponsorships Expense</t>
  </si>
  <si>
    <t xml:space="preserve">      Playground Expense</t>
  </si>
  <si>
    <t xml:space="preserve">      Staff Professional Development</t>
  </si>
  <si>
    <t xml:space="preserve">   Total Additional Expense</t>
  </si>
  <si>
    <t xml:space="preserve">   Administrative</t>
  </si>
  <si>
    <t xml:space="preserve">      Cell Phone-Management</t>
  </si>
  <si>
    <t xml:space="preserve">      Postage</t>
  </si>
  <si>
    <t xml:space="preserve">      Teacher Appreciation</t>
  </si>
  <si>
    <t xml:space="preserve">      Telephone</t>
  </si>
  <si>
    <t xml:space="preserve">      Travel-Local</t>
  </si>
  <si>
    <t xml:space="preserve">   Total Administrative</t>
  </si>
  <si>
    <t xml:space="preserve">   Family Outreach</t>
  </si>
  <si>
    <t xml:space="preserve">      Enrichment Activities-Family</t>
  </si>
  <si>
    <t xml:space="preserve">      Misc/Scholarship/Benevolence</t>
  </si>
  <si>
    <t xml:space="preserve">   Total Family Outreach</t>
  </si>
  <si>
    <t xml:space="preserve">   Fees</t>
  </si>
  <si>
    <t xml:space="preserve">      Bank Service Charges</t>
  </si>
  <si>
    <t xml:space="preserve">      Licenses &amp; Permits</t>
  </si>
  <si>
    <t xml:space="preserve">      Membership Dues</t>
  </si>
  <si>
    <t xml:space="preserve">   Total Fees</t>
  </si>
  <si>
    <t xml:space="preserve">   Food &amp; Related Expenses</t>
  </si>
  <si>
    <t xml:space="preserve">      Food Expense</t>
  </si>
  <si>
    <t xml:space="preserve">      Non-Food Expense</t>
  </si>
  <si>
    <t xml:space="preserve">   Total Food &amp; Related Expenses</t>
  </si>
  <si>
    <t xml:space="preserve">   Insurance</t>
  </si>
  <si>
    <t xml:space="preserve">      General Insurance</t>
  </si>
  <si>
    <t xml:space="preserve">      Officer/Board Insurance</t>
  </si>
  <si>
    <t xml:space="preserve">   Total Insurance</t>
  </si>
  <si>
    <t xml:space="preserve">   Misc Expenses</t>
  </si>
  <si>
    <t xml:space="preserve">      Accounting</t>
  </si>
  <si>
    <t xml:space="preserve">      Admin Supplies &amp; Expense</t>
  </si>
  <si>
    <t xml:space="preserve">      Audit Expense</t>
  </si>
  <si>
    <t xml:space="preserve">      Contract Labor</t>
  </si>
  <si>
    <t xml:space="preserve">      Copier Expense</t>
  </si>
  <si>
    <t xml:space="preserve">      COVID Care Expenses</t>
  </si>
  <si>
    <t xml:space="preserve">      Credit Card Processing Fees</t>
  </si>
  <si>
    <t xml:space="preserve">      Form 990 Preparation</t>
  </si>
  <si>
    <t xml:space="preserve">      Furniture and Fixtures/ Appplia</t>
  </si>
  <si>
    <t xml:space="preserve">   Total Misc Expenses</t>
  </si>
  <si>
    <t xml:space="preserve">   Occupancy</t>
  </si>
  <si>
    <t xml:space="preserve">      Building Cleaning Service</t>
  </si>
  <si>
    <t xml:space="preserve">      Building Maintenance</t>
  </si>
  <si>
    <t xml:space="preserve">      Disposal Expense</t>
  </si>
  <si>
    <t xml:space="preserve">      Electricity</t>
  </si>
  <si>
    <t xml:space="preserve">      Maintenance Supplies</t>
  </si>
  <si>
    <t xml:space="preserve">      Natural Gas</t>
  </si>
  <si>
    <t xml:space="preserve">      Water</t>
  </si>
  <si>
    <t xml:space="preserve">   Total Occupancy</t>
  </si>
  <si>
    <t xml:space="preserve">   Payroll Expenses</t>
  </si>
  <si>
    <t xml:space="preserve">      Payroll Taxes</t>
  </si>
  <si>
    <t xml:space="preserve">         FICA Taxes Expense</t>
  </si>
  <si>
    <t xml:space="preserve">         SUTA Taxes Expense</t>
  </si>
  <si>
    <t xml:space="preserve">      Total Payroll Taxes</t>
  </si>
  <si>
    <t xml:space="preserve">      Salaries &amp; Wages</t>
  </si>
  <si>
    <t xml:space="preserve">         All Staff Salaries &amp; Wages</t>
  </si>
  <si>
    <t xml:space="preserve">         Bonus</t>
  </si>
  <si>
    <t xml:space="preserve">      Total Salaries &amp; Wages</t>
  </si>
  <si>
    <t xml:space="preserve">   Total Payroll Expenses</t>
  </si>
  <si>
    <t xml:space="preserve">   Special Event Exp/Fundraisers</t>
  </si>
  <si>
    <t xml:space="preserve">      Promotional Expenses</t>
  </si>
  <si>
    <t xml:space="preserve">      Year End Appeal Expenses</t>
  </si>
  <si>
    <t xml:space="preserve">   Total Special Event Exp/Fundraisers</t>
  </si>
  <si>
    <t xml:space="preserve">   Supplies</t>
  </si>
  <si>
    <t xml:space="preserve">      Classroom Supplies</t>
  </si>
  <si>
    <t xml:space="preserve">      RTS Supplies &amp; Programming</t>
  </si>
  <si>
    <t xml:space="preserve">   Total Supplies</t>
  </si>
  <si>
    <t>Total Expenses</t>
  </si>
  <si>
    <t>Net Operating Income</t>
  </si>
  <si>
    <t>The King's Daughters Child Development Center</t>
  </si>
  <si>
    <t>Budget Worksheet</t>
  </si>
  <si>
    <t>Monthly Average</t>
  </si>
  <si>
    <t>Estimated Annual</t>
  </si>
  <si>
    <t>Budget for FY 2022-23</t>
  </si>
  <si>
    <t>Budget for FY 2023-24</t>
  </si>
  <si>
    <t>Jul '22 - Apr '23</t>
  </si>
  <si>
    <t>Accredidation</t>
  </si>
  <si>
    <t>constant contact, procare, and etc</t>
  </si>
  <si>
    <t>`</t>
  </si>
  <si>
    <t xml:space="preserve">      United Way Support RTS</t>
  </si>
  <si>
    <t>Additional locc grant</t>
  </si>
  <si>
    <t>maintenance/consultant/projects</t>
  </si>
  <si>
    <t>25,000 i/t IC</t>
  </si>
  <si>
    <t>Tn grant</t>
  </si>
  <si>
    <t>additional security features</t>
  </si>
  <si>
    <t>remove</t>
  </si>
  <si>
    <t>we purchased ice maker  in may</t>
  </si>
  <si>
    <t>grant</t>
  </si>
  <si>
    <t>UW</t>
  </si>
  <si>
    <t>TDHS Stab grant salary/bonus</t>
  </si>
  <si>
    <t>office supplies</t>
  </si>
  <si>
    <t>bd meals/prep</t>
  </si>
  <si>
    <t>1500 ice</t>
  </si>
  <si>
    <t>office file cab</t>
  </si>
  <si>
    <t>$1000 eoy</t>
  </si>
  <si>
    <t>this year</t>
  </si>
  <si>
    <t>eoy</t>
  </si>
  <si>
    <t>eoy more</t>
  </si>
  <si>
    <t>pre-pay</t>
  </si>
  <si>
    <t>900 eoy</t>
  </si>
  <si>
    <t xml:space="preserve">      Workmans Comp Insurance</t>
  </si>
  <si>
    <t>Recruitment advertising/marketing</t>
  </si>
  <si>
    <t>Summer camp supplies</t>
  </si>
  <si>
    <t>Board Meeting Expenses</t>
  </si>
  <si>
    <r>
      <t>j</t>
    </r>
    <r>
      <rPr>
        <b/>
        <sz val="11"/>
        <color indexed="8"/>
        <rFont val="Calibri"/>
        <family val="2"/>
        <scheme val="minor"/>
      </rPr>
      <t>ust for next year</t>
    </r>
  </si>
  <si>
    <t xml:space="preserve">      Security service and upgrades</t>
  </si>
  <si>
    <t>cost of living /percent merit</t>
  </si>
  <si>
    <t>5% cost of living 3 merit</t>
  </si>
  <si>
    <t>merit</t>
  </si>
  <si>
    <t>Fence upgrade</t>
  </si>
  <si>
    <t>5%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</si>
</sst>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10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164" fontId="3" fillId="2" borderId="0" xfId="0" applyNumberFormat="1" applyFont="1" applyFill="1" applyAlignment="1">
      <alignment horizontal="right" wrapText="1"/>
    </xf>
    <xf numFmtId="3" fontId="0" fillId="3" borderId="0" xfId="0" applyNumberFormat="1" applyFill="1"/>
    <xf numFmtId="0" fontId="6" fillId="0" borderId="1" xfId="0" applyFont="1" applyBorder="1" applyAlignment="1">
      <alignment horizontal="center"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165" fontId="8" fillId="0" borderId="3" xfId="0" applyNumberFormat="1" applyFont="1" applyBorder="1" applyAlignment="1">
      <alignment horizontal="right" wrapText="1"/>
    </xf>
    <xf numFmtId="165" fontId="8" fillId="0" borderId="2" xfId="0" applyNumberFormat="1" applyFont="1" applyBorder="1" applyAlignment="1">
      <alignment horizontal="right" wrapText="1"/>
    </xf>
    <xf numFmtId="0" fontId="8" fillId="4" borderId="0" xfId="0" applyFont="1" applyFill="1" applyAlignment="1">
      <alignment horizontal="left" wrapText="1"/>
    </xf>
    <xf numFmtId="164" fontId="7" fillId="4" borderId="0" xfId="0" applyNumberFormat="1" applyFont="1" applyFill="1" applyAlignment="1">
      <alignment horizontal="right" wrapText="1"/>
    </xf>
    <xf numFmtId="0" fontId="2" fillId="4" borderId="0" xfId="0" applyFont="1" applyFill="1" applyAlignment="1">
      <alignment horizontal="left" wrapText="1"/>
    </xf>
    <xf numFmtId="164" fontId="3" fillId="4" borderId="0" xfId="0" applyNumberFormat="1" applyFont="1" applyFill="1" applyAlignment="1">
      <alignment wrapText="1"/>
    </xf>
    <xf numFmtId="164" fontId="7" fillId="4" borderId="0" xfId="0" applyNumberFormat="1" applyFont="1" applyFill="1" applyAlignment="1">
      <alignment wrapText="1"/>
    </xf>
    <xf numFmtId="0" fontId="2" fillId="5" borderId="0" xfId="0" applyFont="1" applyFill="1" applyAlignment="1">
      <alignment horizontal="left" wrapText="1"/>
    </xf>
    <xf numFmtId="164" fontId="3" fillId="5" borderId="0" xfId="0" applyNumberFormat="1" applyFont="1" applyFill="1" applyAlignment="1">
      <alignment horizontal="right" wrapText="1"/>
    </xf>
    <xf numFmtId="164" fontId="7" fillId="5" borderId="0" xfId="0" applyNumberFormat="1" applyFont="1" applyFill="1" applyAlignment="1">
      <alignment horizontal="right" wrapText="1"/>
    </xf>
    <xf numFmtId="0" fontId="0" fillId="5" borderId="0" xfId="0" applyFill="1"/>
    <xf numFmtId="165" fontId="2" fillId="6" borderId="3" xfId="0" applyNumberFormat="1" applyFont="1" applyFill="1" applyBorder="1" applyAlignment="1">
      <alignment horizontal="right" wrapText="1"/>
    </xf>
    <xf numFmtId="165" fontId="8" fillId="7" borderId="3" xfId="0" applyNumberFormat="1" applyFont="1" applyFill="1" applyBorder="1" applyAlignment="1">
      <alignment horizontal="right" wrapText="1"/>
    </xf>
    <xf numFmtId="165" fontId="2" fillId="7" borderId="2" xfId="0" applyNumberFormat="1" applyFont="1" applyFill="1" applyBorder="1" applyAlignment="1">
      <alignment horizontal="right"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activeCell="A3" sqref="A3"/>
    </sheetView>
  </sheetViews>
  <sheetFormatPr defaultRowHeight="15" x14ac:dyDescent="0.25"/>
  <cols>
    <col min="1" max="1" width="33.5703125" customWidth="1"/>
    <col min="2" max="2" width="0.28515625" customWidth="1"/>
    <col min="3" max="3" width="14.5703125" hidden="1" customWidth="1"/>
    <col min="4" max="4" width="0.28515625" hidden="1" customWidth="1"/>
    <col min="5" max="6" width="19" bestFit="1" customWidth="1"/>
  </cols>
  <sheetData>
    <row r="1" spans="1:8" ht="18" x14ac:dyDescent="0.25">
      <c r="A1" s="8" t="s">
        <v>98</v>
      </c>
    </row>
    <row r="2" spans="1:8" ht="18" x14ac:dyDescent="0.25">
      <c r="A2" s="8" t="s">
        <v>99</v>
      </c>
    </row>
    <row r="3" spans="1:8" x14ac:dyDescent="0.25">
      <c r="A3" s="9"/>
    </row>
    <row r="5" spans="1:8" ht="180.75" x14ac:dyDescent="0.25">
      <c r="A5" s="1"/>
      <c r="B5" s="2" t="s">
        <v>104</v>
      </c>
      <c r="C5" s="2" t="s">
        <v>100</v>
      </c>
      <c r="D5" s="2" t="s">
        <v>101</v>
      </c>
      <c r="E5" s="12" t="s">
        <v>102</v>
      </c>
      <c r="F5" s="2" t="s">
        <v>103</v>
      </c>
    </row>
    <row r="6" spans="1:8" x14ac:dyDescent="0.25">
      <c r="A6" s="3" t="s">
        <v>0</v>
      </c>
      <c r="B6" s="4"/>
      <c r="C6" s="4"/>
      <c r="D6" s="4"/>
      <c r="E6" s="13"/>
      <c r="F6" s="4"/>
    </row>
    <row r="7" spans="1:8" x14ac:dyDescent="0.25">
      <c r="A7" s="3" t="s">
        <v>1</v>
      </c>
      <c r="B7" s="4"/>
      <c r="C7" s="4"/>
      <c r="D7" s="4"/>
      <c r="E7" s="13"/>
      <c r="F7" s="4"/>
    </row>
    <row r="8" spans="1:8" x14ac:dyDescent="0.25">
      <c r="A8" s="3" t="s">
        <v>2</v>
      </c>
      <c r="B8" s="4"/>
      <c r="C8" s="4"/>
      <c r="D8" s="4"/>
      <c r="E8" s="13"/>
      <c r="F8" s="4"/>
    </row>
    <row r="9" spans="1:8" x14ac:dyDescent="0.25">
      <c r="A9" s="3" t="s">
        <v>3</v>
      </c>
      <c r="B9" s="4"/>
      <c r="C9" s="4"/>
      <c r="D9" s="4"/>
      <c r="E9" s="14">
        <f>16200</f>
        <v>16200</v>
      </c>
      <c r="F9" s="10"/>
    </row>
    <row r="10" spans="1:8" x14ac:dyDescent="0.25">
      <c r="A10" s="3" t="s">
        <v>4</v>
      </c>
      <c r="B10" s="5">
        <v>215234.73</v>
      </c>
      <c r="C10" s="5">
        <f>B10/10</f>
        <v>21523.473000000002</v>
      </c>
      <c r="D10" s="5">
        <f>C10*12</f>
        <v>258281.67600000004</v>
      </c>
      <c r="E10" s="14">
        <f>80414</f>
        <v>80414</v>
      </c>
      <c r="F10" s="10">
        <v>110100</v>
      </c>
    </row>
    <row r="11" spans="1:8" x14ac:dyDescent="0.25">
      <c r="A11" s="3" t="s">
        <v>5</v>
      </c>
      <c r="B11" s="5">
        <f>232878.69</f>
        <v>232878.69</v>
      </c>
      <c r="C11" s="5">
        <f>B11/10</f>
        <v>23287.868999999999</v>
      </c>
      <c r="D11" s="5">
        <f>C11*12</f>
        <v>279454.42799999996</v>
      </c>
      <c r="E11" s="14">
        <f>207000</f>
        <v>207000</v>
      </c>
      <c r="F11" s="10">
        <v>153000</v>
      </c>
      <c r="G11" t="s">
        <v>118</v>
      </c>
    </row>
    <row r="12" spans="1:8" x14ac:dyDescent="0.25">
      <c r="A12" s="3" t="s">
        <v>6</v>
      </c>
      <c r="B12" s="5">
        <v>106849.01</v>
      </c>
      <c r="C12" s="5">
        <f>B12/10</f>
        <v>10684.901</v>
      </c>
      <c r="D12" s="5">
        <f>C12*12</f>
        <v>128218.81200000001</v>
      </c>
      <c r="E12" s="14">
        <f>100000</f>
        <v>100000</v>
      </c>
      <c r="F12" s="10">
        <v>156000</v>
      </c>
      <c r="G12" s="11">
        <v>50000</v>
      </c>
      <c r="H12" t="s">
        <v>109</v>
      </c>
    </row>
    <row r="13" spans="1:8" x14ac:dyDescent="0.25">
      <c r="A13" s="3" t="s">
        <v>7</v>
      </c>
      <c r="B13" s="5">
        <v>13194.76</v>
      </c>
      <c r="C13" s="5">
        <f>B13/10</f>
        <v>1319.4760000000001</v>
      </c>
      <c r="D13" s="5">
        <f>C13*12</f>
        <v>15833.712000000001</v>
      </c>
      <c r="E13" s="14">
        <f>20000</f>
        <v>20000</v>
      </c>
      <c r="F13" s="10">
        <v>10000</v>
      </c>
    </row>
    <row r="14" spans="1:8" x14ac:dyDescent="0.25">
      <c r="A14" s="3" t="s">
        <v>8</v>
      </c>
      <c r="B14" s="6">
        <f>(((((B8)+(B9))+(B10))+(B11))+(B12))+(B13)</f>
        <v>568157.19000000006</v>
      </c>
      <c r="C14" s="6">
        <f>(((((C8)+(C9))+(C10))+(C11))+(C12))+(C13)</f>
        <v>56815.719000000005</v>
      </c>
      <c r="D14" s="6">
        <f>(((((D8)+(D9))+(D10))+(D11))+(D12))+(D13)</f>
        <v>681788.62800000014</v>
      </c>
      <c r="E14" s="15">
        <f>(((((E8)+(E9))+(E10))+(E11))+(E12))+(E13)</f>
        <v>423614</v>
      </c>
      <c r="F14" s="7">
        <f>(((((F8)+(F9))+(F10))+(F11))+(F12))+(F13)</f>
        <v>429100</v>
      </c>
    </row>
    <row r="15" spans="1:8" x14ac:dyDescent="0.25">
      <c r="A15" s="3" t="s">
        <v>9</v>
      </c>
      <c r="B15" s="6">
        <f>(B7)+(B14)</f>
        <v>568157.19000000006</v>
      </c>
      <c r="C15" s="6">
        <f>(C7)+(C14)</f>
        <v>56815.719000000005</v>
      </c>
      <c r="D15" s="6">
        <f>(D7)+(D14)</f>
        <v>681788.62800000014</v>
      </c>
      <c r="E15" s="15">
        <f>(E7)+(E14)</f>
        <v>423614</v>
      </c>
      <c r="F15" s="7">
        <f>(F7)+(F14)</f>
        <v>429100</v>
      </c>
    </row>
    <row r="16" spans="1:8" x14ac:dyDescent="0.25">
      <c r="A16" s="3" t="s">
        <v>10</v>
      </c>
      <c r="B16" s="4"/>
      <c r="C16" s="4"/>
      <c r="D16" s="4"/>
      <c r="E16" s="13"/>
      <c r="F16" s="4"/>
    </row>
    <row r="17" spans="1:8" x14ac:dyDescent="0.25">
      <c r="A17" s="3" t="s">
        <v>11</v>
      </c>
      <c r="B17" s="5">
        <v>25698.91</v>
      </c>
      <c r="C17" s="5">
        <f>B17/10</f>
        <v>2569.8910000000001</v>
      </c>
      <c r="D17" s="5">
        <f>C17*12</f>
        <v>30838.692000000003</v>
      </c>
      <c r="E17" s="14">
        <f>39000</f>
        <v>39000</v>
      </c>
      <c r="F17" s="10">
        <v>32000</v>
      </c>
    </row>
    <row r="18" spans="1:8" x14ac:dyDescent="0.25">
      <c r="A18" s="3" t="s">
        <v>108</v>
      </c>
      <c r="B18" s="5">
        <v>99000</v>
      </c>
      <c r="C18" s="5">
        <f>B18/10</f>
        <v>9900</v>
      </c>
      <c r="D18" s="5">
        <f>C18*12</f>
        <v>118800</v>
      </c>
      <c r="E18" s="14">
        <f>108000</f>
        <v>108000</v>
      </c>
      <c r="F18" s="10">
        <v>108000</v>
      </c>
    </row>
    <row r="19" spans="1:8" x14ac:dyDescent="0.25">
      <c r="A19" s="3" t="s">
        <v>12</v>
      </c>
      <c r="B19" s="6">
        <f>((B16)+(B17))+(B18)</f>
        <v>124698.91</v>
      </c>
      <c r="C19" s="6">
        <f>((C16)+(C17))+(C18)</f>
        <v>12469.891</v>
      </c>
      <c r="D19" s="6">
        <f>((D16)+(D17))+(D18)</f>
        <v>149638.69200000001</v>
      </c>
      <c r="E19" s="15">
        <f>((E16)+(E17))+(E18)</f>
        <v>147000</v>
      </c>
      <c r="F19" s="7">
        <f>((F16)+(F17))+(F18)</f>
        <v>140000</v>
      </c>
    </row>
    <row r="20" spans="1:8" x14ac:dyDescent="0.25">
      <c r="A20" s="3" t="s">
        <v>13</v>
      </c>
      <c r="B20" s="4"/>
      <c r="C20" s="4"/>
      <c r="D20" s="4"/>
      <c r="E20" s="13"/>
      <c r="F20" s="4"/>
    </row>
    <row r="21" spans="1:8" x14ac:dyDescent="0.25">
      <c r="A21" s="3" t="s">
        <v>14</v>
      </c>
      <c r="B21" s="5">
        <v>437949</v>
      </c>
      <c r="C21" s="5">
        <f>B21/10</f>
        <v>43794.9</v>
      </c>
      <c r="D21" s="5">
        <f>C21*12</f>
        <v>525538.80000000005</v>
      </c>
      <c r="E21" s="14">
        <f>475000</f>
        <v>475000</v>
      </c>
      <c r="F21" s="10">
        <v>500000</v>
      </c>
      <c r="G21" t="s">
        <v>139</v>
      </c>
    </row>
    <row r="22" spans="1:8" x14ac:dyDescent="0.25">
      <c r="A22" s="3" t="s">
        <v>15</v>
      </c>
      <c r="B22" s="5">
        <v>186558.63</v>
      </c>
      <c r="C22" s="5">
        <f>B22/10</f>
        <v>18655.863000000001</v>
      </c>
      <c r="D22" s="5">
        <f>C22*12</f>
        <v>223870.35600000003</v>
      </c>
      <c r="E22" s="14">
        <f>200000</f>
        <v>200000</v>
      </c>
      <c r="F22" s="10">
        <v>220000</v>
      </c>
    </row>
    <row r="23" spans="1:8" x14ac:dyDescent="0.25">
      <c r="A23" s="3" t="s">
        <v>16</v>
      </c>
      <c r="B23" s="5">
        <f>1800</f>
        <v>1800</v>
      </c>
      <c r="C23" s="5">
        <f>B23/10</f>
        <v>180</v>
      </c>
      <c r="D23" s="5">
        <f>C23*12</f>
        <v>2160</v>
      </c>
      <c r="E23" s="14">
        <f>3000</f>
        <v>3000</v>
      </c>
      <c r="F23" s="10">
        <v>2000</v>
      </c>
    </row>
    <row r="24" spans="1:8" x14ac:dyDescent="0.25">
      <c r="A24" s="3" t="s">
        <v>17</v>
      </c>
      <c r="B24" s="5">
        <f>0</f>
        <v>0</v>
      </c>
      <c r="C24" s="5">
        <f>B24/10</f>
        <v>0</v>
      </c>
      <c r="D24" s="5">
        <f>C24*12</f>
        <v>0</v>
      </c>
      <c r="E24" s="14">
        <v>6500</v>
      </c>
      <c r="F24" s="10">
        <v>7500</v>
      </c>
      <c r="G24">
        <v>7500</v>
      </c>
      <c r="H24" t="s">
        <v>124</v>
      </c>
    </row>
    <row r="25" spans="1:8" x14ac:dyDescent="0.25">
      <c r="A25" s="3" t="s">
        <v>18</v>
      </c>
      <c r="B25" s="6">
        <f>((((B20)+(B21))+(B22))+(B23))+(B24)</f>
        <v>626307.63</v>
      </c>
      <c r="C25" s="6">
        <f>((((C20)+(C21))+(C22))+(C23))+(C24)</f>
        <v>62630.763000000006</v>
      </c>
      <c r="D25" s="6">
        <f>((((D20)+(D21))+(D22))+(D23))+(D24)</f>
        <v>751569.15600000008</v>
      </c>
      <c r="E25" s="15">
        <f>((((E20)+(E21))+(E22))+(E23))+(E24)</f>
        <v>684500</v>
      </c>
      <c r="F25" s="7">
        <f>((((F20)+(F21))+(F22))+(F23))+(F24)</f>
        <v>729500</v>
      </c>
    </row>
    <row r="26" spans="1:8" x14ac:dyDescent="0.25">
      <c r="A26" s="3" t="s">
        <v>19</v>
      </c>
      <c r="B26" s="4"/>
      <c r="C26" s="4"/>
      <c r="D26" s="4"/>
      <c r="E26" s="13"/>
      <c r="F26" s="4"/>
    </row>
    <row r="27" spans="1:8" x14ac:dyDescent="0.25">
      <c r="A27" s="3" t="s">
        <v>20</v>
      </c>
      <c r="B27" s="5">
        <v>6550</v>
      </c>
      <c r="C27" s="5">
        <f>B27/10</f>
        <v>655</v>
      </c>
      <c r="D27" s="5">
        <f>C27*12</f>
        <v>7860</v>
      </c>
      <c r="E27" s="14">
        <f>10000</f>
        <v>10000</v>
      </c>
      <c r="F27" s="10">
        <v>10000</v>
      </c>
    </row>
    <row r="28" spans="1:8" x14ac:dyDescent="0.25">
      <c r="A28" s="3" t="s">
        <v>21</v>
      </c>
      <c r="B28" s="5">
        <v>27248.9</v>
      </c>
      <c r="C28" s="5">
        <f>B28/10</f>
        <v>2724.8900000000003</v>
      </c>
      <c r="D28" s="5">
        <f>C28*12</f>
        <v>32698.680000000004</v>
      </c>
      <c r="E28" s="14">
        <f>20000</f>
        <v>20000</v>
      </c>
      <c r="F28" s="10">
        <v>20000</v>
      </c>
    </row>
    <row r="29" spans="1:8" x14ac:dyDescent="0.25">
      <c r="A29" s="3" t="s">
        <v>22</v>
      </c>
      <c r="B29" s="6">
        <f>((B26)+(B27))+(B28)</f>
        <v>33798.9</v>
      </c>
      <c r="C29" s="6">
        <f>((C26)+(C27))+(C28)</f>
        <v>3379.8900000000003</v>
      </c>
      <c r="D29" s="6">
        <f>((D26)+(D27))+(D28)</f>
        <v>40558.680000000008</v>
      </c>
      <c r="E29" s="15">
        <f>((E26)+(E27))+(E28)</f>
        <v>30000</v>
      </c>
      <c r="F29" s="7">
        <f>((F26)+(F27))+(F28)</f>
        <v>30000</v>
      </c>
    </row>
    <row r="30" spans="1:8" x14ac:dyDescent="0.25">
      <c r="A30" s="3" t="s">
        <v>23</v>
      </c>
      <c r="B30" s="6">
        <f>((((B15)+(B19))+(B25))+(B29))</f>
        <v>1352962.63</v>
      </c>
      <c r="C30" s="6">
        <f>((((C15)+(C19))+(C25))+(C29))</f>
        <v>135296.26300000004</v>
      </c>
      <c r="D30" s="6">
        <f>((((D15)+(D19))+(D25))+(D29))</f>
        <v>1623555.1560000002</v>
      </c>
      <c r="E30" s="16">
        <f>((((E15)+(E19))+(E25))+(E29))</f>
        <v>1285114</v>
      </c>
      <c r="F30" s="6">
        <f>((((F15)+(F19))+(F25))+(F29))</f>
        <v>1328600</v>
      </c>
    </row>
    <row r="31" spans="1:8" x14ac:dyDescent="0.25">
      <c r="A31" s="3" t="s">
        <v>24</v>
      </c>
      <c r="B31" s="6">
        <f>(B30)-(0)</f>
        <v>1352962.63</v>
      </c>
      <c r="C31" s="6">
        <f>(C30)-(0)</f>
        <v>135296.26300000004</v>
      </c>
      <c r="D31" s="6">
        <f>(D30)-(0)</f>
        <v>1623555.1560000002</v>
      </c>
      <c r="E31" s="16">
        <f>(E30)-(0)</f>
        <v>1285114</v>
      </c>
      <c r="F31" s="28">
        <f>(F30)-(0)</f>
        <v>1328600</v>
      </c>
    </row>
    <row r="32" spans="1:8" x14ac:dyDescent="0.25">
      <c r="A32" s="3" t="s">
        <v>25</v>
      </c>
      <c r="B32" s="4"/>
      <c r="C32" s="4"/>
      <c r="D32" s="4"/>
      <c r="E32" s="13"/>
      <c r="F32" s="4"/>
    </row>
    <row r="33" spans="1:7" x14ac:dyDescent="0.25">
      <c r="A33" s="3" t="s">
        <v>26</v>
      </c>
      <c r="B33" s="4"/>
      <c r="C33" s="4"/>
      <c r="D33" s="4"/>
      <c r="E33" s="13"/>
      <c r="F33" s="4"/>
    </row>
    <row r="34" spans="1:7" x14ac:dyDescent="0.25">
      <c r="A34" s="3" t="s">
        <v>27</v>
      </c>
      <c r="B34" s="5">
        <v>21185.35</v>
      </c>
      <c r="C34" s="5">
        <f t="shared" ref="C34:C41" si="0">B34/10</f>
        <v>2118.5349999999999</v>
      </c>
      <c r="D34" s="5">
        <f t="shared" ref="D34:D41" si="1">C34*12</f>
        <v>25422.42</v>
      </c>
      <c r="E34" s="14">
        <f>34000</f>
        <v>34000</v>
      </c>
      <c r="F34" s="10">
        <v>34000</v>
      </c>
    </row>
    <row r="35" spans="1:7" x14ac:dyDescent="0.25">
      <c r="A35" s="3" t="s">
        <v>28</v>
      </c>
      <c r="B35" s="5">
        <v>1450.6</v>
      </c>
      <c r="C35" s="5">
        <f t="shared" si="0"/>
        <v>145.06</v>
      </c>
      <c r="D35" s="5">
        <f t="shared" si="1"/>
        <v>1740.72</v>
      </c>
      <c r="E35" s="13"/>
      <c r="F35" s="10">
        <v>3000</v>
      </c>
    </row>
    <row r="36" spans="1:7" x14ac:dyDescent="0.25">
      <c r="A36" s="3" t="s">
        <v>29</v>
      </c>
      <c r="B36" s="4">
        <v>11972.06</v>
      </c>
      <c r="C36" s="5">
        <f t="shared" si="0"/>
        <v>1197.2059999999999</v>
      </c>
      <c r="D36" s="5">
        <f t="shared" si="1"/>
        <v>14366.471999999998</v>
      </c>
      <c r="E36" s="14">
        <f>12000</f>
        <v>12000</v>
      </c>
      <c r="F36" s="10">
        <v>16000</v>
      </c>
    </row>
    <row r="37" spans="1:7" x14ac:dyDescent="0.25">
      <c r="A37" s="3" t="s">
        <v>30</v>
      </c>
      <c r="B37" s="5">
        <v>7694.06</v>
      </c>
      <c r="C37" s="5">
        <f t="shared" si="0"/>
        <v>769.40600000000006</v>
      </c>
      <c r="D37" s="5">
        <f t="shared" si="1"/>
        <v>9232.8720000000012</v>
      </c>
      <c r="E37" s="14">
        <f>5000</f>
        <v>5000</v>
      </c>
      <c r="F37" s="10">
        <v>6000</v>
      </c>
    </row>
    <row r="38" spans="1:7" x14ac:dyDescent="0.25">
      <c r="A38" s="3" t="s">
        <v>31</v>
      </c>
      <c r="B38" s="5">
        <v>3571.44</v>
      </c>
      <c r="C38" s="5">
        <f t="shared" si="0"/>
        <v>357.14400000000001</v>
      </c>
      <c r="D38" s="5">
        <f t="shared" si="1"/>
        <v>4285.7280000000001</v>
      </c>
      <c r="E38" s="14">
        <f>6500</f>
        <v>6500</v>
      </c>
      <c r="F38" s="10">
        <v>6500</v>
      </c>
    </row>
    <row r="39" spans="1:7" x14ac:dyDescent="0.25">
      <c r="A39" s="3" t="s">
        <v>32</v>
      </c>
      <c r="B39" s="5">
        <f>4266.24</f>
        <v>4266.24</v>
      </c>
      <c r="C39" s="5">
        <f t="shared" si="0"/>
        <v>426.62399999999997</v>
      </c>
      <c r="D39" s="5">
        <f t="shared" si="1"/>
        <v>5119.4879999999994</v>
      </c>
      <c r="E39" s="14">
        <f>5000</f>
        <v>5000</v>
      </c>
      <c r="F39" s="10">
        <v>10000</v>
      </c>
      <c r="G39" t="s">
        <v>116</v>
      </c>
    </row>
    <row r="40" spans="1:7" x14ac:dyDescent="0.25">
      <c r="A40" s="17" t="s">
        <v>130</v>
      </c>
      <c r="B40" s="18"/>
      <c r="C40" s="18"/>
      <c r="D40" s="18"/>
      <c r="E40" s="18"/>
      <c r="F40" s="18">
        <v>3000</v>
      </c>
    </row>
    <row r="41" spans="1:7" x14ac:dyDescent="0.25">
      <c r="A41" s="3" t="s">
        <v>129</v>
      </c>
      <c r="B41" s="5">
        <v>3342.5</v>
      </c>
      <c r="C41" s="5">
        <f t="shared" si="0"/>
        <v>334.25</v>
      </c>
      <c r="D41" s="5">
        <f t="shared" si="1"/>
        <v>4011</v>
      </c>
      <c r="E41" s="14">
        <f>5000</f>
        <v>5000</v>
      </c>
      <c r="F41" s="10">
        <v>4500</v>
      </c>
    </row>
    <row r="42" spans="1:7" x14ac:dyDescent="0.25">
      <c r="A42" s="3" t="s">
        <v>33</v>
      </c>
      <c r="B42" s="6">
        <f>(((((((B33)+(B34))+(B35))+(B36))+(B37))+(B38))+(B39))+(B41)</f>
        <v>53482.249999999993</v>
      </c>
      <c r="C42" s="6">
        <f>(((((((C33)+(C34))+(C35))+(C36))+(C37))+(C38))+(C39))+(C41)</f>
        <v>5348.2249999999995</v>
      </c>
      <c r="D42" s="6">
        <f>(((((((D33)+(D34))+(D35))+(D36))+(D37))+(D38))+(D39))+(D41)</f>
        <v>64178.7</v>
      </c>
      <c r="E42" s="15">
        <f>(((((((E33)+(E34))+(E35))+(E36))+(E37))+(E38))+(E39))+(E41)</f>
        <v>67500</v>
      </c>
      <c r="F42" s="7">
        <f>(((((((F33)+(F34))+(F35))+(F36))+(F37))+(F38))+(F39))+(F41)+F40</f>
        <v>83000</v>
      </c>
    </row>
    <row r="43" spans="1:7" x14ac:dyDescent="0.25">
      <c r="A43" s="3" t="s">
        <v>34</v>
      </c>
      <c r="B43" s="4"/>
      <c r="C43" s="4"/>
      <c r="D43" s="4"/>
      <c r="E43" s="13"/>
      <c r="F43" s="4"/>
    </row>
    <row r="44" spans="1:7" x14ac:dyDescent="0.25">
      <c r="A44" s="3" t="s">
        <v>35</v>
      </c>
      <c r="B44" s="5">
        <v>2850</v>
      </c>
      <c r="C44" s="5">
        <f>B44/10</f>
        <v>285</v>
      </c>
      <c r="D44" s="5">
        <f>C44*12</f>
        <v>3420</v>
      </c>
      <c r="E44" s="14">
        <f>1800</f>
        <v>1800</v>
      </c>
      <c r="F44" s="10">
        <v>3000</v>
      </c>
    </row>
    <row r="45" spans="1:7" x14ac:dyDescent="0.25">
      <c r="A45" s="3" t="s">
        <v>36</v>
      </c>
      <c r="B45" s="5">
        <f>75.2</f>
        <v>75.2</v>
      </c>
      <c r="C45" s="5">
        <f>B45/10</f>
        <v>7.5200000000000005</v>
      </c>
      <c r="D45" s="5">
        <f>C45*12</f>
        <v>90.240000000000009</v>
      </c>
      <c r="E45" s="14">
        <f>650</f>
        <v>650</v>
      </c>
      <c r="F45" s="10">
        <v>500</v>
      </c>
    </row>
    <row r="46" spans="1:7" x14ac:dyDescent="0.25">
      <c r="A46" s="3" t="s">
        <v>37</v>
      </c>
      <c r="B46" s="5">
        <v>1350.24</v>
      </c>
      <c r="C46" s="5">
        <f>B46/10</f>
        <v>135.024</v>
      </c>
      <c r="D46" s="5">
        <f>C46*12</f>
        <v>1620.288</v>
      </c>
      <c r="E46" s="14">
        <f>1000</f>
        <v>1000</v>
      </c>
      <c r="F46" s="10">
        <v>1000</v>
      </c>
    </row>
    <row r="47" spans="1:7" x14ac:dyDescent="0.25">
      <c r="A47" s="3" t="s">
        <v>38</v>
      </c>
      <c r="B47" s="5">
        <v>1671.06</v>
      </c>
      <c r="C47" s="5">
        <f>B47/10</f>
        <v>167.10599999999999</v>
      </c>
      <c r="D47" s="5">
        <f>C47*12</f>
        <v>2005.2719999999999</v>
      </c>
      <c r="E47" s="14">
        <f>1800</f>
        <v>1800</v>
      </c>
      <c r="F47" s="10">
        <v>2200</v>
      </c>
    </row>
    <row r="48" spans="1:7" x14ac:dyDescent="0.25">
      <c r="A48" s="3" t="s">
        <v>39</v>
      </c>
      <c r="B48" s="5">
        <v>267.29000000000002</v>
      </c>
      <c r="C48" s="5">
        <f>B48/10</f>
        <v>26.729000000000003</v>
      </c>
      <c r="D48" s="5">
        <f>C48*12</f>
        <v>320.74800000000005</v>
      </c>
      <c r="E48" s="14">
        <f>800</f>
        <v>800</v>
      </c>
      <c r="F48" s="10">
        <v>700</v>
      </c>
    </row>
    <row r="49" spans="1:8" x14ac:dyDescent="0.25">
      <c r="A49" s="3" t="s">
        <v>40</v>
      </c>
      <c r="B49" s="6">
        <f>(((((B43)+(B44))+(B45))+(B46))+(B47))+(B48)</f>
        <v>6213.79</v>
      </c>
      <c r="C49" s="6">
        <f>(((((C43)+(C44))+(C45))+(C46))+(C47))+(C48)</f>
        <v>621.37900000000002</v>
      </c>
      <c r="D49" s="6">
        <f>(((((D43)+(D44))+(D45))+(D46))+(D47))+(D48)</f>
        <v>7456.5480000000007</v>
      </c>
      <c r="E49" s="15">
        <f>(((((E43)+(E44))+(E45))+(E46))+(E47))+(E48)</f>
        <v>6050</v>
      </c>
      <c r="F49" s="7">
        <f>(((((F43)+(F44))+(F45))+(F46))+(F47))+(F48)</f>
        <v>7400</v>
      </c>
    </row>
    <row r="50" spans="1:8" x14ac:dyDescent="0.25">
      <c r="A50" s="3" t="s">
        <v>41</v>
      </c>
      <c r="B50" s="4"/>
      <c r="C50" s="4"/>
      <c r="D50" s="4"/>
      <c r="E50" s="13"/>
      <c r="F50" s="4"/>
    </row>
    <row r="51" spans="1:8" x14ac:dyDescent="0.25">
      <c r="A51" s="3" t="s">
        <v>42</v>
      </c>
      <c r="B51" s="4"/>
      <c r="C51" s="4"/>
      <c r="D51" s="4"/>
      <c r="E51" s="14">
        <f>1000</f>
        <v>1000</v>
      </c>
      <c r="F51" s="10">
        <v>1000</v>
      </c>
      <c r="G51" t="s">
        <v>128</v>
      </c>
    </row>
    <row r="52" spans="1:8" x14ac:dyDescent="0.25">
      <c r="A52" s="3" t="s">
        <v>43</v>
      </c>
      <c r="B52" s="5">
        <v>7067.09</v>
      </c>
      <c r="C52" s="5">
        <f>B52/10</f>
        <v>706.70900000000006</v>
      </c>
      <c r="D52" s="5">
        <f>C52*12</f>
        <v>8480.5080000000016</v>
      </c>
      <c r="E52" s="14">
        <f>10000</f>
        <v>10000</v>
      </c>
      <c r="F52" s="10">
        <v>10000</v>
      </c>
    </row>
    <row r="53" spans="1:8" x14ac:dyDescent="0.25">
      <c r="A53" s="3" t="s">
        <v>44</v>
      </c>
      <c r="B53" s="6">
        <f>((B50)+(B51))+(B52)</f>
        <v>7067.09</v>
      </c>
      <c r="C53" s="6">
        <f>((C50)+(C51))+(C52)</f>
        <v>706.70900000000006</v>
      </c>
      <c r="D53" s="6">
        <f>((D50)+(D51))+(D52)</f>
        <v>8480.5080000000016</v>
      </c>
      <c r="E53" s="15">
        <f>((E50)+(E51))+(E52)</f>
        <v>11000</v>
      </c>
      <c r="F53" s="7">
        <f>((F50)+(F51))+(F52)</f>
        <v>11000</v>
      </c>
    </row>
    <row r="54" spans="1:8" x14ac:dyDescent="0.25">
      <c r="A54" s="3" t="s">
        <v>45</v>
      </c>
      <c r="B54" s="4"/>
      <c r="C54" s="4"/>
      <c r="D54" s="4"/>
      <c r="E54" s="13"/>
      <c r="F54" s="4"/>
    </row>
    <row r="55" spans="1:8" x14ac:dyDescent="0.25">
      <c r="A55" s="3" t="s">
        <v>46</v>
      </c>
      <c r="B55" s="5">
        <f>278.93</f>
        <v>278.93</v>
      </c>
      <c r="C55" s="5">
        <f>B55/10</f>
        <v>27.893000000000001</v>
      </c>
      <c r="D55" s="5">
        <f>C55*12</f>
        <v>334.71600000000001</v>
      </c>
      <c r="E55" s="14">
        <f>500</f>
        <v>500</v>
      </c>
      <c r="F55" s="10">
        <v>400</v>
      </c>
    </row>
    <row r="56" spans="1:8" x14ac:dyDescent="0.25">
      <c r="A56" s="3" t="s">
        <v>47</v>
      </c>
      <c r="B56" s="5">
        <f>30.46</f>
        <v>30.46</v>
      </c>
      <c r="C56" s="5">
        <f>B56/10</f>
        <v>3.0460000000000003</v>
      </c>
      <c r="D56" s="5">
        <f>C56*12</f>
        <v>36.552000000000007</v>
      </c>
      <c r="E56" s="14">
        <f>600</f>
        <v>600</v>
      </c>
      <c r="F56" s="10">
        <v>200</v>
      </c>
    </row>
    <row r="57" spans="1:8" x14ac:dyDescent="0.25">
      <c r="A57" s="3" t="s">
        <v>48</v>
      </c>
      <c r="B57" s="4"/>
      <c r="C57" s="5">
        <f>B57/10</f>
        <v>0</v>
      </c>
      <c r="D57" s="5">
        <f>C57*12</f>
        <v>0</v>
      </c>
      <c r="E57" s="14">
        <f>2000</f>
        <v>2000</v>
      </c>
      <c r="F57" s="10">
        <v>2000</v>
      </c>
      <c r="G57" t="s">
        <v>105</v>
      </c>
    </row>
    <row r="58" spans="1:8" x14ac:dyDescent="0.25">
      <c r="A58" s="3" t="s">
        <v>49</v>
      </c>
      <c r="B58" s="6">
        <f>(((B54)+(B55))+(B56))+(B57)</f>
        <v>309.39</v>
      </c>
      <c r="C58" s="6">
        <f>(((C54)+(C55))+(C56))+(C57)</f>
        <v>30.939</v>
      </c>
      <c r="D58" s="6">
        <f>(((D54)+(D55))+(D56))+(D57)</f>
        <v>371.26800000000003</v>
      </c>
      <c r="E58" s="15">
        <f>(((E54)+(E55))+(E56))+(E57)</f>
        <v>3100</v>
      </c>
      <c r="F58" s="7">
        <f>(((F54)+(F55))+(F56))+(F57)</f>
        <v>2600</v>
      </c>
    </row>
    <row r="59" spans="1:8" x14ac:dyDescent="0.25">
      <c r="A59" s="3" t="s">
        <v>50</v>
      </c>
      <c r="B59" s="4"/>
      <c r="C59" s="4"/>
      <c r="D59" s="4"/>
      <c r="E59" s="13"/>
      <c r="F59" s="4"/>
    </row>
    <row r="60" spans="1:8" x14ac:dyDescent="0.25">
      <c r="A60" s="3" t="s">
        <v>51</v>
      </c>
      <c r="B60" s="5">
        <v>44378.35</v>
      </c>
      <c r="C60" s="5">
        <f>B60/10</f>
        <v>4437.835</v>
      </c>
      <c r="D60" s="5">
        <f>C60*12</f>
        <v>53254.020000000004</v>
      </c>
      <c r="E60" s="14">
        <f>55200</f>
        <v>55200</v>
      </c>
      <c r="F60" s="10">
        <v>55000</v>
      </c>
    </row>
    <row r="61" spans="1:8" x14ac:dyDescent="0.25">
      <c r="A61" s="3" t="s">
        <v>52</v>
      </c>
      <c r="B61" s="5">
        <v>6439.28</v>
      </c>
      <c r="C61" s="5">
        <f>B61/10</f>
        <v>643.928</v>
      </c>
      <c r="D61" s="5">
        <f>C61*12</f>
        <v>7727.1360000000004</v>
      </c>
      <c r="E61" s="14">
        <f>7000</f>
        <v>7000</v>
      </c>
      <c r="F61" s="10">
        <v>7500</v>
      </c>
    </row>
    <row r="62" spans="1:8" x14ac:dyDescent="0.25">
      <c r="A62" s="3" t="s">
        <v>53</v>
      </c>
      <c r="B62" s="6">
        <f>((B59)+(B60))+(B61)</f>
        <v>50817.63</v>
      </c>
      <c r="C62" s="6">
        <f>((C59)+(C60))+(C61)</f>
        <v>5081.7629999999999</v>
      </c>
      <c r="D62" s="6">
        <f>((D59)+(D60))+(D61)</f>
        <v>60981.156000000003</v>
      </c>
      <c r="E62" s="15">
        <f>((E59)+(E60))+(E61)</f>
        <v>62200</v>
      </c>
      <c r="F62" s="7">
        <f>((F59)+(F60))+(F61)</f>
        <v>62500</v>
      </c>
    </row>
    <row r="63" spans="1:8" x14ac:dyDescent="0.25">
      <c r="A63" s="3" t="s">
        <v>54</v>
      </c>
      <c r="B63" s="4"/>
      <c r="C63" s="4"/>
      <c r="D63" s="4"/>
      <c r="E63" s="13"/>
      <c r="F63" s="4"/>
    </row>
    <row r="64" spans="1:8" x14ac:dyDescent="0.25">
      <c r="A64" s="3" t="s">
        <v>55</v>
      </c>
      <c r="B64" s="5">
        <v>17713.189999999999</v>
      </c>
      <c r="C64" s="5">
        <f>B64/10</f>
        <v>1771.319</v>
      </c>
      <c r="D64" s="5">
        <f>C64*12</f>
        <v>21255.828000000001</v>
      </c>
      <c r="E64" s="14">
        <f>17000</f>
        <v>17000</v>
      </c>
      <c r="F64" s="10">
        <v>21000</v>
      </c>
      <c r="G64" t="s">
        <v>126</v>
      </c>
      <c r="H64" t="s">
        <v>127</v>
      </c>
    </row>
    <row r="65" spans="1:12" x14ac:dyDescent="0.25">
      <c r="A65" s="3" t="s">
        <v>56</v>
      </c>
      <c r="B65" s="4"/>
      <c r="C65" s="5">
        <f>B65/10</f>
        <v>0</v>
      </c>
      <c r="D65" s="5">
        <f>C65*12</f>
        <v>0</v>
      </c>
      <c r="E65" s="14">
        <f>1500</f>
        <v>1500</v>
      </c>
      <c r="F65" s="10">
        <v>1500</v>
      </c>
      <c r="G65" t="s">
        <v>125</v>
      </c>
    </row>
    <row r="66" spans="1:12" x14ac:dyDescent="0.25">
      <c r="A66" s="3" t="s">
        <v>57</v>
      </c>
      <c r="B66" s="6">
        <f>((B63)+(B64))+(B65)</f>
        <v>17713.189999999999</v>
      </c>
      <c r="C66" s="6">
        <f>((C63)+(C64))+(C65)</f>
        <v>1771.319</v>
      </c>
      <c r="D66" s="6">
        <f>((D63)+(D64))+(D65)</f>
        <v>21255.828000000001</v>
      </c>
      <c r="E66" s="15">
        <f>((E63)+(E64))+(E65)</f>
        <v>18500</v>
      </c>
      <c r="F66" s="7">
        <f>((F63)+(F64))+(F65)</f>
        <v>22500</v>
      </c>
    </row>
    <row r="67" spans="1:12" x14ac:dyDescent="0.25">
      <c r="A67" s="3" t="s">
        <v>58</v>
      </c>
      <c r="B67" s="4"/>
      <c r="C67" s="4"/>
      <c r="D67" s="4"/>
      <c r="E67" s="13"/>
      <c r="F67" s="4"/>
    </row>
    <row r="68" spans="1:12" x14ac:dyDescent="0.25">
      <c r="A68" s="3" t="s">
        <v>59</v>
      </c>
      <c r="B68" s="5">
        <v>13837.79</v>
      </c>
      <c r="C68" s="5">
        <f t="shared" ref="C68:C77" si="2">B68/10</f>
        <v>1383.779</v>
      </c>
      <c r="D68" s="5">
        <f t="shared" ref="D68:D77" si="3">C68*12</f>
        <v>16605.347999999998</v>
      </c>
      <c r="E68" s="14">
        <f>13500</f>
        <v>13500</v>
      </c>
      <c r="F68" s="10">
        <v>16600</v>
      </c>
    </row>
    <row r="69" spans="1:12" x14ac:dyDescent="0.25">
      <c r="A69" s="3" t="s">
        <v>60</v>
      </c>
      <c r="B69" s="5">
        <v>11863.3</v>
      </c>
      <c r="C69" s="5">
        <f t="shared" si="2"/>
        <v>1186.33</v>
      </c>
      <c r="D69" s="5">
        <f t="shared" si="3"/>
        <v>14235.96</v>
      </c>
      <c r="E69" s="14">
        <f>10000</f>
        <v>10000</v>
      </c>
      <c r="F69" s="10">
        <v>12000</v>
      </c>
      <c r="G69" t="s">
        <v>106</v>
      </c>
      <c r="J69" t="s">
        <v>119</v>
      </c>
      <c r="L69" t="s">
        <v>120</v>
      </c>
    </row>
    <row r="70" spans="1:12" x14ac:dyDescent="0.25">
      <c r="A70" s="3" t="s">
        <v>61</v>
      </c>
      <c r="B70" s="5">
        <f>11073.49</f>
        <v>11073.49</v>
      </c>
      <c r="C70" s="5">
        <f t="shared" si="2"/>
        <v>1107.3489999999999</v>
      </c>
      <c r="D70" s="5">
        <f t="shared" si="3"/>
        <v>13288.187999999998</v>
      </c>
      <c r="E70" s="14">
        <f>8500</f>
        <v>8500</v>
      </c>
      <c r="F70" s="10">
        <v>12000</v>
      </c>
    </row>
    <row r="71" spans="1:12" x14ac:dyDescent="0.25">
      <c r="A71" s="3" t="s">
        <v>62</v>
      </c>
      <c r="B71" s="5">
        <v>14772.75</v>
      </c>
      <c r="C71" s="5">
        <f t="shared" si="2"/>
        <v>1477.2750000000001</v>
      </c>
      <c r="D71" s="5">
        <f t="shared" si="3"/>
        <v>17727.300000000003</v>
      </c>
      <c r="E71" s="14">
        <f>14000</f>
        <v>14000</v>
      </c>
      <c r="F71" s="10">
        <v>15000</v>
      </c>
      <c r="G71" t="s">
        <v>110</v>
      </c>
    </row>
    <row r="72" spans="1:12" x14ac:dyDescent="0.25">
      <c r="A72" s="3" t="s">
        <v>63</v>
      </c>
      <c r="B72" s="5">
        <v>6361.57</v>
      </c>
      <c r="C72" s="5">
        <f t="shared" si="2"/>
        <v>636.15699999999993</v>
      </c>
      <c r="D72" s="5">
        <f t="shared" si="3"/>
        <v>7633.8839999999991</v>
      </c>
      <c r="E72" s="14">
        <f>6000</f>
        <v>6000</v>
      </c>
      <c r="F72" s="10">
        <v>8000</v>
      </c>
    </row>
    <row r="73" spans="1:12" x14ac:dyDescent="0.25">
      <c r="A73" s="22" t="s">
        <v>64</v>
      </c>
      <c r="B73" s="23">
        <v>5009.37</v>
      </c>
      <c r="C73" s="23">
        <f t="shared" si="2"/>
        <v>500.93700000000001</v>
      </c>
      <c r="D73" s="23">
        <f t="shared" si="3"/>
        <v>6011.2440000000006</v>
      </c>
      <c r="E73" s="24">
        <f>5000</f>
        <v>5000</v>
      </c>
      <c r="F73" s="23">
        <v>0</v>
      </c>
      <c r="G73" s="25" t="s">
        <v>114</v>
      </c>
      <c r="H73" t="s">
        <v>133</v>
      </c>
    </row>
    <row r="74" spans="1:12" x14ac:dyDescent="0.25">
      <c r="A74" s="3" t="s">
        <v>65</v>
      </c>
      <c r="B74" s="5">
        <v>1896.11</v>
      </c>
      <c r="C74" s="5">
        <f t="shared" si="2"/>
        <v>189.61099999999999</v>
      </c>
      <c r="D74" s="5">
        <f t="shared" si="3"/>
        <v>2275.3319999999999</v>
      </c>
      <c r="E74" s="14">
        <f>2500</f>
        <v>2500</v>
      </c>
      <c r="F74" s="10">
        <v>2500</v>
      </c>
    </row>
    <row r="75" spans="1:12" x14ac:dyDescent="0.25">
      <c r="A75" s="3" t="s">
        <v>66</v>
      </c>
      <c r="B75" s="5">
        <f>2250</f>
        <v>2250</v>
      </c>
      <c r="C75" s="5">
        <f t="shared" si="2"/>
        <v>225</v>
      </c>
      <c r="D75" s="5">
        <f t="shared" si="3"/>
        <v>2700</v>
      </c>
      <c r="E75" s="14">
        <f>2500</f>
        <v>2500</v>
      </c>
      <c r="F75" s="10">
        <v>2500</v>
      </c>
    </row>
    <row r="76" spans="1:12" x14ac:dyDescent="0.25">
      <c r="A76" s="3" t="s">
        <v>132</v>
      </c>
      <c r="B76" s="5">
        <v>1200</v>
      </c>
      <c r="C76" s="5"/>
      <c r="D76" s="5"/>
      <c r="E76" s="14"/>
      <c r="F76" s="10">
        <v>1200</v>
      </c>
    </row>
    <row r="77" spans="1:12" x14ac:dyDescent="0.25">
      <c r="A77" s="3" t="s">
        <v>67</v>
      </c>
      <c r="B77" s="4"/>
      <c r="C77" s="5">
        <f t="shared" si="2"/>
        <v>0</v>
      </c>
      <c r="D77" s="5">
        <f t="shared" si="3"/>
        <v>0</v>
      </c>
      <c r="E77" s="14">
        <f>5000</f>
        <v>5000</v>
      </c>
      <c r="F77" s="10">
        <v>5000</v>
      </c>
      <c r="G77" t="s">
        <v>115</v>
      </c>
      <c r="K77" t="s">
        <v>121</v>
      </c>
      <c r="L77" t="s">
        <v>122</v>
      </c>
    </row>
    <row r="78" spans="1:12" x14ac:dyDescent="0.25">
      <c r="A78" s="3" t="s">
        <v>68</v>
      </c>
      <c r="B78" s="6">
        <f>(((((((((B67)+(B68))+(B69))+(B70))+(B71))+(B72))+(B73))+(B74))+(B75))+(B77)</f>
        <v>67064.38</v>
      </c>
      <c r="C78" s="6">
        <f>(((((((((C67)+(C68))+(C69))+(C70))+(C71))+(C72))+(C73))+(C74))+(C75))+(C77)</f>
        <v>6706.4380000000001</v>
      </c>
      <c r="D78" s="6">
        <f>(((((((((D67)+(D68))+(D69))+(D70))+(D71))+(D72))+(D73))+(D74))+(D75))+(D77)</f>
        <v>80477.256000000008</v>
      </c>
      <c r="E78" s="15">
        <f>(((((((((E67)+(E68))+(E69))+(E70))+(E71))+(E72))+(E73))+(E74))+(E75))+(E77)</f>
        <v>67000</v>
      </c>
      <c r="F78" s="7">
        <f>(((((((((F67)+(F68))+(F69))+(F70))+(F71))+(F72))+(F73))+(F74))+(F75))+(F77)+F76</f>
        <v>74800</v>
      </c>
    </row>
    <row r="79" spans="1:12" x14ac:dyDescent="0.25">
      <c r="A79" s="3" t="s">
        <v>69</v>
      </c>
      <c r="B79" s="4"/>
      <c r="C79" s="4"/>
      <c r="D79" s="4"/>
      <c r="E79" s="13"/>
      <c r="F79" s="4"/>
    </row>
    <row r="80" spans="1:12" x14ac:dyDescent="0.25">
      <c r="A80" s="3" t="s">
        <v>70</v>
      </c>
      <c r="B80" s="5">
        <v>15575</v>
      </c>
      <c r="C80" s="5">
        <f t="shared" ref="C80:C88" si="4">B80/10</f>
        <v>1557.5</v>
      </c>
      <c r="D80" s="5">
        <f t="shared" ref="D80:D88" si="5">C80*12</f>
        <v>18690</v>
      </c>
      <c r="E80" s="14">
        <f>19200</f>
        <v>19200</v>
      </c>
      <c r="F80" s="10">
        <v>19200</v>
      </c>
    </row>
    <row r="81" spans="1:12" x14ac:dyDescent="0.25">
      <c r="A81" s="3" t="s">
        <v>71</v>
      </c>
      <c r="B81" s="5">
        <v>16128.44</v>
      </c>
      <c r="C81" s="5">
        <f t="shared" si="4"/>
        <v>1612.8440000000001</v>
      </c>
      <c r="D81" s="5">
        <f t="shared" si="5"/>
        <v>19354.128000000001</v>
      </c>
      <c r="E81" s="14">
        <f>25000</f>
        <v>25000</v>
      </c>
      <c r="F81" s="10">
        <v>20000</v>
      </c>
    </row>
    <row r="82" spans="1:12" x14ac:dyDescent="0.25">
      <c r="A82" s="3" t="s">
        <v>72</v>
      </c>
      <c r="B82" s="5">
        <v>7412.7</v>
      </c>
      <c r="C82" s="5">
        <f t="shared" si="4"/>
        <v>741.27</v>
      </c>
      <c r="D82" s="5">
        <f t="shared" si="5"/>
        <v>8895.24</v>
      </c>
      <c r="E82" s="14">
        <f>7000</f>
        <v>7000</v>
      </c>
      <c r="F82" s="10">
        <v>9000</v>
      </c>
    </row>
    <row r="83" spans="1:12" x14ac:dyDescent="0.25">
      <c r="A83" s="3" t="s">
        <v>73</v>
      </c>
      <c r="B83" s="5">
        <v>13807.5</v>
      </c>
      <c r="C83" s="5">
        <f t="shared" si="4"/>
        <v>1380.75</v>
      </c>
      <c r="D83" s="5">
        <f t="shared" si="5"/>
        <v>16569</v>
      </c>
      <c r="E83" s="14">
        <f>14000</f>
        <v>14000</v>
      </c>
      <c r="F83" s="10">
        <v>17000</v>
      </c>
    </row>
    <row r="84" spans="1:12" x14ac:dyDescent="0.25">
      <c r="A84" s="3" t="s">
        <v>74</v>
      </c>
      <c r="B84" s="5">
        <v>4000.66</v>
      </c>
      <c r="C84" s="5">
        <f t="shared" si="4"/>
        <v>400.06599999999997</v>
      </c>
      <c r="D84" s="5">
        <f t="shared" si="5"/>
        <v>4800.7919999999995</v>
      </c>
      <c r="E84" s="14">
        <f>5000</f>
        <v>5000</v>
      </c>
      <c r="F84" s="10">
        <v>5000</v>
      </c>
    </row>
    <row r="85" spans="1:12" x14ac:dyDescent="0.25">
      <c r="A85" s="3" t="s">
        <v>75</v>
      </c>
      <c r="B85" s="5">
        <v>3592.78</v>
      </c>
      <c r="C85" s="5">
        <f t="shared" si="4"/>
        <v>359.27800000000002</v>
      </c>
      <c r="D85" s="5">
        <f t="shared" si="5"/>
        <v>4311.3360000000002</v>
      </c>
      <c r="E85" s="14">
        <f>3800</f>
        <v>3800</v>
      </c>
      <c r="F85" s="10">
        <v>4500</v>
      </c>
    </row>
    <row r="86" spans="1:12" x14ac:dyDescent="0.25">
      <c r="A86" s="3" t="s">
        <v>134</v>
      </c>
      <c r="B86" s="5">
        <v>11370.45</v>
      </c>
      <c r="C86" s="5">
        <f t="shared" si="4"/>
        <v>1137.0450000000001</v>
      </c>
      <c r="D86" s="5">
        <f t="shared" si="5"/>
        <v>13644.54</v>
      </c>
      <c r="E86" s="14">
        <f>5500</f>
        <v>5500</v>
      </c>
      <c r="F86" s="10">
        <v>25000</v>
      </c>
      <c r="G86" t="s">
        <v>113</v>
      </c>
    </row>
    <row r="87" spans="1:12" x14ac:dyDescent="0.25">
      <c r="A87" s="3" t="s">
        <v>138</v>
      </c>
      <c r="B87" s="5"/>
      <c r="C87" s="5"/>
      <c r="D87" s="5"/>
      <c r="E87" s="14"/>
      <c r="F87" s="10">
        <v>15000</v>
      </c>
    </row>
    <row r="88" spans="1:12" x14ac:dyDescent="0.25">
      <c r="A88" s="3" t="s">
        <v>76</v>
      </c>
      <c r="B88" s="5">
        <v>7421.35</v>
      </c>
      <c r="C88" s="5">
        <f t="shared" si="4"/>
        <v>742.13499999999999</v>
      </c>
      <c r="D88" s="5">
        <f t="shared" si="5"/>
        <v>8905.619999999999</v>
      </c>
      <c r="E88" s="14">
        <f>8000</f>
        <v>8000</v>
      </c>
      <c r="F88" s="10">
        <v>9000</v>
      </c>
    </row>
    <row r="89" spans="1:12" x14ac:dyDescent="0.25">
      <c r="A89" s="3" t="s">
        <v>77</v>
      </c>
      <c r="B89" s="6">
        <f>((((((((B79)+(B80))+(B81))+(B82))+(B83))+(B84))+(B85))+(B86))+(B88)</f>
        <v>79308.88</v>
      </c>
      <c r="C89" s="6">
        <f>((((((((C79)+(C80))+(C81))+(C82))+(C83))+(C84))+(C85))+(C86))+(C88)</f>
        <v>7930.8879999999999</v>
      </c>
      <c r="D89" s="6">
        <f>((((((((D79)+(D80))+(D81))+(D82))+(D83))+(D84))+(D85))+(D86))+(D88)</f>
        <v>95170.655999999988</v>
      </c>
      <c r="E89" s="15">
        <f>((((((((E79)+(E80))+(E81))+(E82))+(E83))+(E84))+(E85))+(E86))+(E88)</f>
        <v>87500</v>
      </c>
      <c r="F89" s="7">
        <f>((((((((F79)+(F80))+(F81))+(F82))+(F83))+(F84))+(F85))+(F86))+(F88)</f>
        <v>108700</v>
      </c>
    </row>
    <row r="90" spans="1:12" x14ac:dyDescent="0.25">
      <c r="A90" s="3" t="s">
        <v>78</v>
      </c>
      <c r="B90" s="4"/>
      <c r="C90" s="4"/>
      <c r="D90" s="4"/>
      <c r="E90" s="13"/>
      <c r="F90" s="4"/>
    </row>
    <row r="91" spans="1:12" x14ac:dyDescent="0.25">
      <c r="A91" s="3" t="s">
        <v>79</v>
      </c>
      <c r="B91" s="4"/>
      <c r="C91" s="4"/>
      <c r="D91" s="4"/>
      <c r="E91" s="13"/>
      <c r="F91" s="4"/>
    </row>
    <row r="92" spans="1:12" x14ac:dyDescent="0.25">
      <c r="A92" s="3" t="s">
        <v>80</v>
      </c>
      <c r="B92" s="5">
        <v>51048.15</v>
      </c>
      <c r="C92" s="5">
        <f>B92/10</f>
        <v>5104.8150000000005</v>
      </c>
      <c r="D92" s="5">
        <f>C92*12</f>
        <v>61257.780000000006</v>
      </c>
      <c r="E92" s="14">
        <f>60000</f>
        <v>60000</v>
      </c>
      <c r="F92" s="10">
        <v>67000</v>
      </c>
    </row>
    <row r="93" spans="1:12" x14ac:dyDescent="0.25">
      <c r="A93" s="3" t="s">
        <v>81</v>
      </c>
      <c r="B93" s="5">
        <v>1553.26</v>
      </c>
      <c r="C93" s="5">
        <f>B93/10</f>
        <v>155.32599999999999</v>
      </c>
      <c r="D93" s="5">
        <f>C93*12</f>
        <v>1863.9119999999998</v>
      </c>
      <c r="E93" s="14">
        <f>3000</f>
        <v>3000</v>
      </c>
      <c r="F93" s="10">
        <v>3000</v>
      </c>
    </row>
    <row r="94" spans="1:12" x14ac:dyDescent="0.25">
      <c r="A94" s="3" t="s">
        <v>82</v>
      </c>
      <c r="B94" s="6">
        <f>((B91)+(B92))+(B93)</f>
        <v>52601.41</v>
      </c>
      <c r="C94" s="6">
        <f>((C91)+(C92))+(C93)</f>
        <v>5260.1410000000005</v>
      </c>
      <c r="D94" s="6">
        <f>((D91)+(D92))+(D93)</f>
        <v>63121.692000000003</v>
      </c>
      <c r="E94" s="15">
        <f>((E91)+(E92))+(E93)</f>
        <v>63000</v>
      </c>
      <c r="F94" s="7">
        <f>((F91)+(F92))+(F93)</f>
        <v>70000</v>
      </c>
    </row>
    <row r="95" spans="1:12" x14ac:dyDescent="0.25">
      <c r="A95" s="3" t="s">
        <v>83</v>
      </c>
      <c r="B95" s="4"/>
      <c r="C95" s="4"/>
      <c r="D95" s="4"/>
      <c r="E95" s="13"/>
      <c r="F95" s="4"/>
    </row>
    <row r="96" spans="1:12" x14ac:dyDescent="0.25">
      <c r="A96" s="3" t="s">
        <v>84</v>
      </c>
      <c r="B96" s="5">
        <v>608944.12</v>
      </c>
      <c r="C96" s="5">
        <f>B96/10</f>
        <v>60894.411999999997</v>
      </c>
      <c r="D96" s="5">
        <f>C96*12</f>
        <v>730732.9439999999</v>
      </c>
      <c r="E96" s="14">
        <f>795000</f>
        <v>795000</v>
      </c>
      <c r="F96" s="10">
        <v>795000</v>
      </c>
      <c r="G96" t="s">
        <v>111</v>
      </c>
      <c r="I96" t="s">
        <v>136</v>
      </c>
      <c r="J96" t="s">
        <v>135</v>
      </c>
      <c r="K96" s="29">
        <v>0.03</v>
      </c>
      <c r="L96" t="s">
        <v>137</v>
      </c>
    </row>
    <row r="97" spans="1:8" x14ac:dyDescent="0.25">
      <c r="A97" s="3" t="s">
        <v>85</v>
      </c>
      <c r="B97" s="5">
        <f>43350</f>
        <v>43350</v>
      </c>
      <c r="C97" s="5">
        <f>B97/10</f>
        <v>4335</v>
      </c>
      <c r="D97" s="5">
        <f>C97*12</f>
        <v>52020</v>
      </c>
      <c r="E97" s="14">
        <f>58000</f>
        <v>58000</v>
      </c>
      <c r="F97" s="10">
        <v>48000</v>
      </c>
      <c r="G97" t="s">
        <v>112</v>
      </c>
    </row>
    <row r="98" spans="1:8" x14ac:dyDescent="0.25">
      <c r="A98" s="3" t="s">
        <v>86</v>
      </c>
      <c r="B98" s="6">
        <f>((B95)+(B96))+(B97)</f>
        <v>652294.12</v>
      </c>
      <c r="C98" s="6">
        <f>((C95)+(C96))+(C97)</f>
        <v>65229.411999999997</v>
      </c>
      <c r="D98" s="6">
        <f>((D95)+(D96))+(D97)</f>
        <v>782752.9439999999</v>
      </c>
      <c r="E98" s="15">
        <f>((E95)+(E96))+(E97)</f>
        <v>853000</v>
      </c>
      <c r="F98" s="7">
        <f>F96+F97</f>
        <v>843000</v>
      </c>
    </row>
    <row r="99" spans="1:8" x14ac:dyDescent="0.25">
      <c r="A99" s="3" t="s">
        <v>87</v>
      </c>
      <c r="B99" s="6">
        <f>((B90)+(B94))+(B98)</f>
        <v>704895.53</v>
      </c>
      <c r="C99" s="6">
        <f>((C90)+(C94))+(C98)</f>
        <v>70489.553</v>
      </c>
      <c r="D99" s="6">
        <f>((D90)+(D94))+(D98)</f>
        <v>845874.63599999994</v>
      </c>
      <c r="E99" s="15">
        <f>((E90)+(E94))+(E98)</f>
        <v>916000</v>
      </c>
      <c r="F99" s="7">
        <f>F98+F94</f>
        <v>913000</v>
      </c>
    </row>
    <row r="100" spans="1:8" x14ac:dyDescent="0.25">
      <c r="A100" s="3" t="s">
        <v>88</v>
      </c>
      <c r="B100" s="4"/>
      <c r="C100" s="4"/>
      <c r="D100" s="4"/>
      <c r="E100" s="13"/>
      <c r="F100" s="4"/>
    </row>
    <row r="101" spans="1:8" x14ac:dyDescent="0.25">
      <c r="A101" s="3" t="s">
        <v>20</v>
      </c>
      <c r="B101" s="5">
        <v>3488</v>
      </c>
      <c r="C101" s="5">
        <f>B101/10</f>
        <v>348.8</v>
      </c>
      <c r="D101" s="5">
        <f>C101*12</f>
        <v>4185.6000000000004</v>
      </c>
      <c r="E101" s="14">
        <f>8000</f>
        <v>8000</v>
      </c>
      <c r="F101" s="10">
        <v>6000</v>
      </c>
    </row>
    <row r="102" spans="1:8" x14ac:dyDescent="0.25">
      <c r="A102" s="3" t="s">
        <v>89</v>
      </c>
      <c r="B102" s="4"/>
      <c r="C102" s="5">
        <f>B102/10</f>
        <v>0</v>
      </c>
      <c r="D102" s="5">
        <f>C102*12</f>
        <v>0</v>
      </c>
      <c r="E102" s="14">
        <f>3500</f>
        <v>3500</v>
      </c>
      <c r="F102" s="10">
        <v>2500</v>
      </c>
      <c r="G102" t="s">
        <v>123</v>
      </c>
    </row>
    <row r="103" spans="1:8" x14ac:dyDescent="0.25">
      <c r="A103" s="3" t="s">
        <v>90</v>
      </c>
      <c r="B103" s="5">
        <f>109.95</f>
        <v>109.95</v>
      </c>
      <c r="C103" s="5">
        <f>B103/10</f>
        <v>10.995000000000001</v>
      </c>
      <c r="D103" s="5">
        <f>C103*12</f>
        <v>131.94</v>
      </c>
      <c r="E103" s="14">
        <f>600</f>
        <v>600</v>
      </c>
      <c r="F103" s="10">
        <v>600</v>
      </c>
    </row>
    <row r="104" spans="1:8" x14ac:dyDescent="0.25">
      <c r="A104" s="3" t="s">
        <v>91</v>
      </c>
      <c r="B104" s="6">
        <f>(((B100)+(B101))+(B102))+(B103)</f>
        <v>3597.95</v>
      </c>
      <c r="C104" s="6">
        <f>(((C100)+(C101))+(C102))+(C103)</f>
        <v>359.79500000000002</v>
      </c>
      <c r="D104" s="6">
        <f>(((D100)+(D101))+(D102))+(D103)</f>
        <v>4317.54</v>
      </c>
      <c r="E104" s="15">
        <f>(((E100)+(E101))+(E102))+(E103)</f>
        <v>12100</v>
      </c>
      <c r="F104" s="7">
        <f>(((F100)+(F101))+(F102))+(F103)</f>
        <v>9100</v>
      </c>
    </row>
    <row r="105" spans="1:8" x14ac:dyDescent="0.25">
      <c r="A105" s="3" t="s">
        <v>92</v>
      </c>
      <c r="B105" s="4"/>
      <c r="C105" s="4"/>
      <c r="D105" s="4"/>
      <c r="E105" s="13"/>
      <c r="F105" s="4"/>
    </row>
    <row r="106" spans="1:8" x14ac:dyDescent="0.25">
      <c r="A106" s="19" t="s">
        <v>131</v>
      </c>
      <c r="B106" s="20"/>
      <c r="C106" s="20"/>
      <c r="D106" s="20"/>
      <c r="E106" s="21"/>
      <c r="F106" s="20">
        <v>1500</v>
      </c>
    </row>
    <row r="107" spans="1:8" x14ac:dyDescent="0.25">
      <c r="A107" s="3" t="s">
        <v>93</v>
      </c>
      <c r="B107" s="5">
        <v>3773.88</v>
      </c>
      <c r="C107" s="5">
        <f>B107/10</f>
        <v>377.38800000000003</v>
      </c>
      <c r="D107" s="5">
        <f>C107*12</f>
        <v>4528.6560000000009</v>
      </c>
      <c r="E107" s="14">
        <f>6450</f>
        <v>6450</v>
      </c>
      <c r="F107" s="10">
        <v>7000</v>
      </c>
      <c r="G107" t="s">
        <v>116</v>
      </c>
    </row>
    <row r="108" spans="1:8" x14ac:dyDescent="0.25">
      <c r="A108" s="3" t="s">
        <v>94</v>
      </c>
      <c r="B108" s="5">
        <v>20090.939999999999</v>
      </c>
      <c r="C108" s="5">
        <f>B108/10</f>
        <v>2009.0939999999998</v>
      </c>
      <c r="D108" s="5">
        <f>C108*12</f>
        <v>24109.127999999997</v>
      </c>
      <c r="E108" s="14">
        <f>27714</f>
        <v>27714</v>
      </c>
      <c r="F108" s="10">
        <v>25500</v>
      </c>
      <c r="G108" t="s">
        <v>117</v>
      </c>
      <c r="H108" t="s">
        <v>107</v>
      </c>
    </row>
    <row r="109" spans="1:8" x14ac:dyDescent="0.25">
      <c r="A109" s="3" t="s">
        <v>95</v>
      </c>
      <c r="B109" s="6">
        <f>((B105)+(B107))+(B108)</f>
        <v>23864.82</v>
      </c>
      <c r="C109" s="6">
        <f>((C105)+(C107))+(C108)</f>
        <v>2386.482</v>
      </c>
      <c r="D109" s="6">
        <f>((D105)+(D107))+(D108)</f>
        <v>28637.784</v>
      </c>
      <c r="E109" s="15">
        <f>((E105)+(E107))+(E108)</f>
        <v>34164</v>
      </c>
      <c r="F109" s="7">
        <f>((F105)+(F107))+(F108)+F106</f>
        <v>34000</v>
      </c>
    </row>
    <row r="110" spans="1:8" x14ac:dyDescent="0.25">
      <c r="A110" s="3" t="s">
        <v>96</v>
      </c>
      <c r="B110" s="6">
        <f>((((((((((B42)+(B49))+(B53))+(B58))+(B62))+(B66))+(B78))+(B89))+(B99))+(B104))+(B109)</f>
        <v>1014334.8999999999</v>
      </c>
      <c r="C110" s="6">
        <f>((((((((((C42)+(C49))+(C53))+(C58))+(C62))+(C66))+(C78))+(C89))+(C99))+(C104))+(C109)</f>
        <v>101433.48999999999</v>
      </c>
      <c r="D110" s="6">
        <f>((((((((((D42)+(D49))+(D53))+(D58))+(D62))+(D66))+(D78))+(D89))+(D99))+(D104))+(D109)</f>
        <v>1217201.8799999999</v>
      </c>
      <c r="E110" s="15">
        <f>((((((((((E42)+(E49))+(E53))+(E58))+(E62))+(E66))+(E78))+(E89))+(E99))+(E104))+(E109)</f>
        <v>1285114</v>
      </c>
      <c r="F110" s="27">
        <f>F42+F49+F53+F58+F62+F66+F78+F89+F99+F104+F109</f>
        <v>1328600</v>
      </c>
    </row>
    <row r="111" spans="1:8" x14ac:dyDescent="0.25">
      <c r="A111" s="3" t="s">
        <v>97</v>
      </c>
      <c r="B111" s="6">
        <f>(B31)-(B110)</f>
        <v>338627.73</v>
      </c>
      <c r="C111" s="6">
        <f>(C31)-(C110)</f>
        <v>33862.773000000045</v>
      </c>
      <c r="D111" s="6">
        <f>(D31)-(D110)</f>
        <v>406353.2760000003</v>
      </c>
      <c r="E111" s="15">
        <f>(E31)-(E110)</f>
        <v>0</v>
      </c>
      <c r="F111" s="26">
        <f>F31-F110</f>
        <v>0</v>
      </c>
    </row>
    <row r="112" spans="1:8" x14ac:dyDescent="0.25">
      <c r="A112" s="3"/>
      <c r="B112" s="4"/>
      <c r="C112" s="4"/>
      <c r="D112" s="4"/>
      <c r="E112" s="4"/>
      <c r="F112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2023-06-17T15:13:45Z</cp:lastPrinted>
  <dcterms:created xsi:type="dcterms:W3CDTF">2023-04-20T00:54:16Z</dcterms:created>
  <dcterms:modified xsi:type="dcterms:W3CDTF">2023-08-01T18:56:19Z</dcterms:modified>
</cp:coreProperties>
</file>