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5ef0a195ad108f9/RBR/LHCS/FY 2021/Q2/Dec 20/"/>
    </mc:Choice>
  </mc:AlternateContent>
  <xr:revisionPtr revIDLastSave="67" documentId="8_{4CAD99F9-760E-427B-8908-C2EDF0141B42}" xr6:coauthVersionLast="46" xr6:coauthVersionMax="46" xr10:uidLastSave="{D6F6A94C-537E-4E58-B2C1-5CB6024CC96E}"/>
  <bookViews>
    <workbookView xWindow="28680" yWindow="-120" windowWidth="29040" windowHeight="15840" xr2:uid="{00000000-000D-0000-FFFF-FFFF00000000}"/>
  </bookViews>
  <sheets>
    <sheet name="Profit &amp; Loss by Month" sheetId="4" r:id="rId1"/>
    <sheet name="P&amp;L by month with prior yr" sheetId="5" r:id="rId2"/>
    <sheet name="Balance Sheet" sheetId="6" r:id="rId3"/>
    <sheet name="Cash Flow Stmt" sheetId="7" r:id="rId4"/>
    <sheet name="Trial Balance" sheetId="1" r:id="rId5"/>
    <sheet name="AR Aging" sheetId="3" r:id="rId6"/>
    <sheet name="FACTS AR Detail" sheetId="8" r:id="rId7"/>
    <sheet name="AP Aging" sheetId="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8" l="1"/>
  <c r="J21" i="8"/>
  <c r="J6" i="8"/>
  <c r="B44" i="7" l="1"/>
  <c r="B41" i="7"/>
  <c r="B40" i="7"/>
  <c r="B39" i="7"/>
  <c r="B42" i="7" s="1"/>
  <c r="B36" i="7"/>
  <c r="B35" i="7"/>
  <c r="B34" i="7"/>
  <c r="B33" i="7"/>
  <c r="B37" i="7" s="1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30" i="7" s="1"/>
  <c r="B7" i="7"/>
  <c r="B31" i="7" s="1"/>
  <c r="B43" i="7" s="1"/>
  <c r="B45" i="7" s="1"/>
  <c r="B113" i="6"/>
  <c r="B112" i="6"/>
  <c r="D112" i="6" s="1"/>
  <c r="D111" i="6"/>
  <c r="C111" i="6"/>
  <c r="B111" i="6"/>
  <c r="D110" i="6"/>
  <c r="C110" i="6"/>
  <c r="B110" i="6"/>
  <c r="D109" i="6"/>
  <c r="C109" i="6"/>
  <c r="B109" i="6"/>
  <c r="D108" i="6"/>
  <c r="C108" i="6"/>
  <c r="B108" i="6"/>
  <c r="D107" i="6"/>
  <c r="C107" i="6"/>
  <c r="C113" i="6" s="1"/>
  <c r="B107" i="6"/>
  <c r="D101" i="6"/>
  <c r="C101" i="6"/>
  <c r="C102" i="6" s="1"/>
  <c r="B101" i="6"/>
  <c r="B102" i="6" s="1"/>
  <c r="D102" i="6" s="1"/>
  <c r="D100" i="6"/>
  <c r="C98" i="6"/>
  <c r="B98" i="6"/>
  <c r="D98" i="6" s="1"/>
  <c r="C97" i="6"/>
  <c r="B97" i="6"/>
  <c r="D97" i="6" s="1"/>
  <c r="C96" i="6"/>
  <c r="B96" i="6"/>
  <c r="D96" i="6" s="1"/>
  <c r="C95" i="6"/>
  <c r="C99" i="6" s="1"/>
  <c r="C103" i="6" s="1"/>
  <c r="C104" i="6" s="1"/>
  <c r="B95" i="6"/>
  <c r="D95" i="6" s="1"/>
  <c r="D94" i="6"/>
  <c r="D93" i="6"/>
  <c r="D89" i="6"/>
  <c r="C89" i="6"/>
  <c r="B89" i="6"/>
  <c r="D87" i="6"/>
  <c r="C87" i="6"/>
  <c r="B87" i="6"/>
  <c r="D86" i="6"/>
  <c r="C86" i="6"/>
  <c r="B86" i="6"/>
  <c r="D85" i="6"/>
  <c r="C85" i="6"/>
  <c r="B85" i="6"/>
  <c r="D83" i="6"/>
  <c r="C83" i="6"/>
  <c r="B83" i="6"/>
  <c r="D82" i="6"/>
  <c r="C82" i="6"/>
  <c r="C84" i="6" s="1"/>
  <c r="B82" i="6"/>
  <c r="B84" i="6" s="1"/>
  <c r="D84" i="6" s="1"/>
  <c r="D81" i="6"/>
  <c r="B80" i="6"/>
  <c r="C79" i="6"/>
  <c r="C80" i="6" s="1"/>
  <c r="B79" i="6"/>
  <c r="D79" i="6" s="1"/>
  <c r="D78" i="6"/>
  <c r="C77" i="6"/>
  <c r="C76" i="6"/>
  <c r="D76" i="6" s="1"/>
  <c r="B76" i="6"/>
  <c r="C75" i="6"/>
  <c r="B75" i="6"/>
  <c r="D75" i="6" s="1"/>
  <c r="C74" i="6"/>
  <c r="D74" i="6" s="1"/>
  <c r="B74" i="6"/>
  <c r="C73" i="6"/>
  <c r="B73" i="6"/>
  <c r="B77" i="6" s="1"/>
  <c r="D77" i="6" s="1"/>
  <c r="C72" i="6"/>
  <c r="D72" i="6" s="1"/>
  <c r="B72" i="6"/>
  <c r="C71" i="6"/>
  <c r="B71" i="6"/>
  <c r="D70" i="6"/>
  <c r="D67" i="6"/>
  <c r="C67" i="6"/>
  <c r="C68" i="6" s="1"/>
  <c r="B67" i="6"/>
  <c r="B68" i="6" s="1"/>
  <c r="D60" i="6"/>
  <c r="C60" i="6"/>
  <c r="B60" i="6"/>
  <c r="D59" i="6"/>
  <c r="C59" i="6"/>
  <c r="C61" i="6" s="1"/>
  <c r="B59" i="6"/>
  <c r="B61" i="6" s="1"/>
  <c r="D55" i="6"/>
  <c r="C55" i="6"/>
  <c r="B55" i="6"/>
  <c r="D54" i="6"/>
  <c r="C54" i="6"/>
  <c r="B54" i="6"/>
  <c r="D53" i="6"/>
  <c r="C53" i="6"/>
  <c r="B53" i="6"/>
  <c r="D52" i="6"/>
  <c r="C52" i="6"/>
  <c r="B52" i="6"/>
  <c r="D51" i="6"/>
  <c r="C51" i="6"/>
  <c r="B51" i="6"/>
  <c r="D50" i="6"/>
  <c r="C50" i="6"/>
  <c r="B50" i="6"/>
  <c r="D49" i="6"/>
  <c r="C49" i="6"/>
  <c r="B49" i="6"/>
  <c r="D48" i="6"/>
  <c r="C48" i="6"/>
  <c r="B48" i="6"/>
  <c r="D47" i="6"/>
  <c r="C47" i="6"/>
  <c r="B47" i="6"/>
  <c r="D46" i="6"/>
  <c r="C46" i="6"/>
  <c r="B46" i="6"/>
  <c r="D45" i="6"/>
  <c r="C45" i="6"/>
  <c r="B45" i="6"/>
  <c r="D44" i="6"/>
  <c r="C44" i="6"/>
  <c r="C56" i="6" s="1"/>
  <c r="C57" i="6" s="1"/>
  <c r="B44" i="6"/>
  <c r="B56" i="6" s="1"/>
  <c r="D43" i="6"/>
  <c r="C43" i="6"/>
  <c r="B43" i="6"/>
  <c r="D42" i="6"/>
  <c r="C38" i="6"/>
  <c r="B38" i="6"/>
  <c r="D38" i="6" s="1"/>
  <c r="C37" i="6"/>
  <c r="B37" i="6"/>
  <c r="D37" i="6" s="1"/>
  <c r="C36" i="6"/>
  <c r="C39" i="6" s="1"/>
  <c r="C35" i="6"/>
  <c r="B35" i="6"/>
  <c r="B36" i="6" s="1"/>
  <c r="D34" i="6"/>
  <c r="D30" i="6"/>
  <c r="C30" i="6"/>
  <c r="B30" i="6"/>
  <c r="C29" i="6"/>
  <c r="C31" i="6" s="1"/>
  <c r="C32" i="6" s="1"/>
  <c r="B29" i="6"/>
  <c r="B31" i="6" s="1"/>
  <c r="D28" i="6"/>
  <c r="C28" i="6"/>
  <c r="B28" i="6"/>
  <c r="C24" i="6"/>
  <c r="B24" i="6"/>
  <c r="D24" i="6" s="1"/>
  <c r="D23" i="6"/>
  <c r="C23" i="6"/>
  <c r="B23" i="6"/>
  <c r="C22" i="6"/>
  <c r="C25" i="6" s="1"/>
  <c r="B22" i="6"/>
  <c r="B25" i="6" s="1"/>
  <c r="D25" i="6" s="1"/>
  <c r="C20" i="6"/>
  <c r="C21" i="6" s="1"/>
  <c r="B20" i="6"/>
  <c r="B21" i="6" s="1"/>
  <c r="D21" i="6" s="1"/>
  <c r="D19" i="6"/>
  <c r="D17" i="6"/>
  <c r="C17" i="6"/>
  <c r="B17" i="6"/>
  <c r="D16" i="6"/>
  <c r="C16" i="6"/>
  <c r="B16" i="6"/>
  <c r="D15" i="6"/>
  <c r="C15" i="6"/>
  <c r="B15" i="6"/>
  <c r="D14" i="6"/>
  <c r="C14" i="6"/>
  <c r="B14" i="6"/>
  <c r="D13" i="6"/>
  <c r="C13" i="6"/>
  <c r="B13" i="6"/>
  <c r="D12" i="6"/>
  <c r="C12" i="6"/>
  <c r="B12" i="6"/>
  <c r="D11" i="6"/>
  <c r="C11" i="6"/>
  <c r="C18" i="6" s="1"/>
  <c r="B11" i="6"/>
  <c r="B18" i="6" s="1"/>
  <c r="D10" i="6"/>
  <c r="R168" i="5"/>
  <c r="Q168" i="5"/>
  <c r="S168" i="5" s="1"/>
  <c r="O168" i="5"/>
  <c r="P168" i="5" s="1"/>
  <c r="M168" i="5"/>
  <c r="J168" i="5"/>
  <c r="G168" i="5"/>
  <c r="D168" i="5"/>
  <c r="K167" i="5"/>
  <c r="M167" i="5" s="1"/>
  <c r="O166" i="5"/>
  <c r="P166" i="5" s="1"/>
  <c r="M166" i="5"/>
  <c r="L166" i="5"/>
  <c r="I166" i="5"/>
  <c r="J166" i="5" s="1"/>
  <c r="F166" i="5"/>
  <c r="E166" i="5"/>
  <c r="G166" i="5" s="1"/>
  <c r="C166" i="5"/>
  <c r="B166" i="5"/>
  <c r="D166" i="5" s="1"/>
  <c r="Q165" i="5"/>
  <c r="P165" i="5"/>
  <c r="M165" i="5"/>
  <c r="J165" i="5"/>
  <c r="G165" i="5"/>
  <c r="C165" i="5"/>
  <c r="R165" i="5" s="1"/>
  <c r="O164" i="5"/>
  <c r="N164" i="5"/>
  <c r="P164" i="5" s="1"/>
  <c r="L164" i="5"/>
  <c r="K164" i="5"/>
  <c r="M164" i="5" s="1"/>
  <c r="I164" i="5"/>
  <c r="H164" i="5"/>
  <c r="F164" i="5"/>
  <c r="E164" i="5"/>
  <c r="G164" i="5" s="1"/>
  <c r="C164" i="5"/>
  <c r="B164" i="5"/>
  <c r="O163" i="5"/>
  <c r="N163" i="5"/>
  <c r="L163" i="5"/>
  <c r="K163" i="5"/>
  <c r="M163" i="5" s="1"/>
  <c r="I163" i="5"/>
  <c r="H163" i="5"/>
  <c r="J163" i="5" s="1"/>
  <c r="F163" i="5"/>
  <c r="E163" i="5"/>
  <c r="G163" i="5" s="1"/>
  <c r="C163" i="5"/>
  <c r="B163" i="5"/>
  <c r="O162" i="5"/>
  <c r="O167" i="5" s="1"/>
  <c r="N162" i="5"/>
  <c r="L162" i="5"/>
  <c r="L167" i="5" s="1"/>
  <c r="K162" i="5"/>
  <c r="M162" i="5" s="1"/>
  <c r="I162" i="5"/>
  <c r="H162" i="5"/>
  <c r="F162" i="5"/>
  <c r="F167" i="5" s="1"/>
  <c r="E162" i="5"/>
  <c r="G162" i="5" s="1"/>
  <c r="C162" i="5"/>
  <c r="B162" i="5"/>
  <c r="R161" i="5"/>
  <c r="Q161" i="5"/>
  <c r="S161" i="5" s="1"/>
  <c r="P161" i="5"/>
  <c r="M161" i="5"/>
  <c r="J161" i="5"/>
  <c r="G161" i="5"/>
  <c r="D161" i="5"/>
  <c r="K159" i="5"/>
  <c r="Q158" i="5"/>
  <c r="P158" i="5"/>
  <c r="O158" i="5"/>
  <c r="N158" i="5"/>
  <c r="M158" i="5"/>
  <c r="L158" i="5"/>
  <c r="J158" i="5"/>
  <c r="I158" i="5"/>
  <c r="F158" i="5"/>
  <c r="E158" i="5"/>
  <c r="G158" i="5" s="1"/>
  <c r="C158" i="5"/>
  <c r="B158" i="5"/>
  <c r="D158" i="5" s="1"/>
  <c r="O157" i="5"/>
  <c r="P157" i="5" s="1"/>
  <c r="M157" i="5"/>
  <c r="L157" i="5"/>
  <c r="I157" i="5"/>
  <c r="J157" i="5" s="1"/>
  <c r="F157" i="5"/>
  <c r="E157" i="5"/>
  <c r="G157" i="5" s="1"/>
  <c r="C157" i="5"/>
  <c r="B157" i="5"/>
  <c r="D157" i="5" s="1"/>
  <c r="O156" i="5"/>
  <c r="O159" i="5" s="1"/>
  <c r="N156" i="5"/>
  <c r="L156" i="5"/>
  <c r="K156" i="5"/>
  <c r="I156" i="5"/>
  <c r="H156" i="5"/>
  <c r="F156" i="5"/>
  <c r="R156" i="5" s="1"/>
  <c r="E156" i="5"/>
  <c r="C156" i="5"/>
  <c r="C159" i="5" s="1"/>
  <c r="B156" i="5"/>
  <c r="D156" i="5" s="1"/>
  <c r="Q155" i="5"/>
  <c r="P155" i="5"/>
  <c r="L155" i="5"/>
  <c r="J155" i="5"/>
  <c r="F155" i="5"/>
  <c r="B155" i="5"/>
  <c r="D155" i="5" s="1"/>
  <c r="S154" i="5"/>
  <c r="R154" i="5"/>
  <c r="P154" i="5"/>
  <c r="K154" i="5"/>
  <c r="M154" i="5" s="1"/>
  <c r="J154" i="5"/>
  <c r="H154" i="5"/>
  <c r="G154" i="5"/>
  <c r="E154" i="5"/>
  <c r="Q154" i="5" s="1"/>
  <c r="C154" i="5"/>
  <c r="B154" i="5"/>
  <c r="D154" i="5" s="1"/>
  <c r="O153" i="5"/>
  <c r="N153" i="5"/>
  <c r="P153" i="5" s="1"/>
  <c r="L153" i="5"/>
  <c r="K153" i="5"/>
  <c r="M153" i="5" s="1"/>
  <c r="I153" i="5"/>
  <c r="H153" i="5"/>
  <c r="J153" i="5" s="1"/>
  <c r="F153" i="5"/>
  <c r="R153" i="5" s="1"/>
  <c r="E153" i="5"/>
  <c r="C153" i="5"/>
  <c r="B153" i="5"/>
  <c r="D153" i="5" s="1"/>
  <c r="O152" i="5"/>
  <c r="N152" i="5"/>
  <c r="P152" i="5" s="1"/>
  <c r="L152" i="5"/>
  <c r="K152" i="5"/>
  <c r="M152" i="5" s="1"/>
  <c r="I152" i="5"/>
  <c r="H152" i="5"/>
  <c r="J152" i="5" s="1"/>
  <c r="F152" i="5"/>
  <c r="R152" i="5" s="1"/>
  <c r="E152" i="5"/>
  <c r="C152" i="5"/>
  <c r="B152" i="5"/>
  <c r="D152" i="5" s="1"/>
  <c r="O151" i="5"/>
  <c r="O160" i="5" s="1"/>
  <c r="N151" i="5"/>
  <c r="L151" i="5"/>
  <c r="K151" i="5"/>
  <c r="M151" i="5" s="1"/>
  <c r="I151" i="5"/>
  <c r="H151" i="5"/>
  <c r="F151" i="5"/>
  <c r="E151" i="5"/>
  <c r="C151" i="5"/>
  <c r="B151" i="5"/>
  <c r="R150" i="5"/>
  <c r="Q150" i="5"/>
  <c r="S150" i="5" s="1"/>
  <c r="P150" i="5"/>
  <c r="M150" i="5"/>
  <c r="J150" i="5"/>
  <c r="G150" i="5"/>
  <c r="D150" i="5"/>
  <c r="H148" i="5"/>
  <c r="S147" i="5"/>
  <c r="P147" i="5"/>
  <c r="O147" i="5"/>
  <c r="O148" i="5" s="1"/>
  <c r="N147" i="5"/>
  <c r="N148" i="5" s="1"/>
  <c r="P148" i="5" s="1"/>
  <c r="M147" i="5"/>
  <c r="L147" i="5"/>
  <c r="K147" i="5"/>
  <c r="K148" i="5" s="1"/>
  <c r="J147" i="5"/>
  <c r="I147" i="5"/>
  <c r="H147" i="5"/>
  <c r="G147" i="5"/>
  <c r="F147" i="5"/>
  <c r="E147" i="5"/>
  <c r="D147" i="5"/>
  <c r="C147" i="5"/>
  <c r="R147" i="5" s="1"/>
  <c r="B147" i="5"/>
  <c r="Q147" i="5" s="1"/>
  <c r="Q146" i="5"/>
  <c r="P146" i="5"/>
  <c r="M146" i="5"/>
  <c r="J146" i="5"/>
  <c r="G146" i="5"/>
  <c r="C146" i="5"/>
  <c r="R146" i="5" s="1"/>
  <c r="S146" i="5" s="1"/>
  <c r="Q145" i="5"/>
  <c r="P145" i="5"/>
  <c r="O145" i="5"/>
  <c r="L145" i="5"/>
  <c r="M145" i="5" s="1"/>
  <c r="I145" i="5"/>
  <c r="G145" i="5"/>
  <c r="F145" i="5"/>
  <c r="E145" i="5"/>
  <c r="E148" i="5" s="1"/>
  <c r="G148" i="5" s="1"/>
  <c r="D145" i="5"/>
  <c r="C145" i="5"/>
  <c r="C148" i="5" s="1"/>
  <c r="B145" i="5"/>
  <c r="B148" i="5" s="1"/>
  <c r="Q144" i="5"/>
  <c r="P144" i="5"/>
  <c r="L144" i="5"/>
  <c r="J144" i="5"/>
  <c r="F144" i="5"/>
  <c r="F148" i="5" s="1"/>
  <c r="D144" i="5"/>
  <c r="F143" i="5"/>
  <c r="E143" i="5"/>
  <c r="B143" i="5"/>
  <c r="O142" i="5"/>
  <c r="N142" i="5"/>
  <c r="P142" i="5" s="1"/>
  <c r="L142" i="5"/>
  <c r="K142" i="5"/>
  <c r="M142" i="5" s="1"/>
  <c r="I142" i="5"/>
  <c r="H142" i="5"/>
  <c r="J142" i="5" s="1"/>
  <c r="E142" i="5"/>
  <c r="G142" i="5" s="1"/>
  <c r="D142" i="5"/>
  <c r="C142" i="5"/>
  <c r="B142" i="5"/>
  <c r="P141" i="5"/>
  <c r="O141" i="5"/>
  <c r="N141" i="5"/>
  <c r="M141" i="5"/>
  <c r="L141" i="5"/>
  <c r="R141" i="5" s="1"/>
  <c r="K141" i="5"/>
  <c r="Q141" i="5" s="1"/>
  <c r="S141" i="5" s="1"/>
  <c r="J141" i="5"/>
  <c r="I141" i="5"/>
  <c r="H141" i="5"/>
  <c r="G141" i="5"/>
  <c r="E141" i="5"/>
  <c r="D141" i="5"/>
  <c r="B141" i="5"/>
  <c r="O140" i="5"/>
  <c r="O143" i="5" s="1"/>
  <c r="N140" i="5"/>
  <c r="L140" i="5"/>
  <c r="K140" i="5"/>
  <c r="M140" i="5" s="1"/>
  <c r="I140" i="5"/>
  <c r="I143" i="5" s="1"/>
  <c r="H140" i="5"/>
  <c r="F140" i="5"/>
  <c r="E140" i="5"/>
  <c r="G140" i="5" s="1"/>
  <c r="C140" i="5"/>
  <c r="B140" i="5"/>
  <c r="D140" i="5" s="1"/>
  <c r="R139" i="5"/>
  <c r="Q139" i="5"/>
  <c r="S139" i="5" s="1"/>
  <c r="P139" i="5"/>
  <c r="M139" i="5"/>
  <c r="J139" i="5"/>
  <c r="G139" i="5"/>
  <c r="D139" i="5"/>
  <c r="Q138" i="5"/>
  <c r="S138" i="5" s="1"/>
  <c r="P138" i="5"/>
  <c r="O138" i="5"/>
  <c r="N138" i="5"/>
  <c r="L138" i="5"/>
  <c r="K138" i="5"/>
  <c r="M138" i="5" s="1"/>
  <c r="J138" i="5"/>
  <c r="H138" i="5"/>
  <c r="F138" i="5"/>
  <c r="E138" i="5"/>
  <c r="D138" i="5"/>
  <c r="C138" i="5"/>
  <c r="R138" i="5" s="1"/>
  <c r="B138" i="5"/>
  <c r="K137" i="5"/>
  <c r="M137" i="5" s="1"/>
  <c r="E137" i="5"/>
  <c r="G137" i="5" s="1"/>
  <c r="O136" i="5"/>
  <c r="P136" i="5" s="1"/>
  <c r="N136" i="5"/>
  <c r="L136" i="5"/>
  <c r="L137" i="5" s="1"/>
  <c r="K136" i="5"/>
  <c r="J136" i="5"/>
  <c r="I136" i="5"/>
  <c r="H136" i="5"/>
  <c r="F136" i="5"/>
  <c r="E136" i="5"/>
  <c r="C136" i="5"/>
  <c r="B136" i="5"/>
  <c r="Q135" i="5"/>
  <c r="P135" i="5"/>
  <c r="O135" i="5"/>
  <c r="N135" i="5"/>
  <c r="L135" i="5"/>
  <c r="K135" i="5"/>
  <c r="M135" i="5" s="1"/>
  <c r="J135" i="5"/>
  <c r="I135" i="5"/>
  <c r="H135" i="5"/>
  <c r="F135" i="5"/>
  <c r="F137" i="5" s="1"/>
  <c r="E135" i="5"/>
  <c r="C135" i="5"/>
  <c r="C137" i="5" s="1"/>
  <c r="B135" i="5"/>
  <c r="O134" i="5"/>
  <c r="N134" i="5"/>
  <c r="K134" i="5"/>
  <c r="M134" i="5" s="1"/>
  <c r="I134" i="5"/>
  <c r="J134" i="5" s="1"/>
  <c r="H134" i="5"/>
  <c r="G134" i="5"/>
  <c r="E134" i="5"/>
  <c r="D134" i="5"/>
  <c r="C134" i="5"/>
  <c r="B134" i="5"/>
  <c r="Q134" i="5" s="1"/>
  <c r="O133" i="5"/>
  <c r="N133" i="5"/>
  <c r="M133" i="5"/>
  <c r="L133" i="5"/>
  <c r="K133" i="5"/>
  <c r="I133" i="5"/>
  <c r="I137" i="5" s="1"/>
  <c r="H133" i="5"/>
  <c r="G133" i="5"/>
  <c r="F133" i="5"/>
  <c r="E133" i="5"/>
  <c r="C133" i="5"/>
  <c r="R133" i="5" s="1"/>
  <c r="B133" i="5"/>
  <c r="S132" i="5"/>
  <c r="R132" i="5"/>
  <c r="Q132" i="5"/>
  <c r="P132" i="5"/>
  <c r="M132" i="5"/>
  <c r="J132" i="5"/>
  <c r="G132" i="5"/>
  <c r="D132" i="5"/>
  <c r="P131" i="5"/>
  <c r="N131" i="5"/>
  <c r="L131" i="5"/>
  <c r="K131" i="5"/>
  <c r="M131" i="5" s="1"/>
  <c r="I131" i="5"/>
  <c r="R131" i="5" s="1"/>
  <c r="H131" i="5"/>
  <c r="J131" i="5" s="1"/>
  <c r="G131" i="5"/>
  <c r="B131" i="5"/>
  <c r="D131" i="5" s="1"/>
  <c r="O130" i="5"/>
  <c r="N130" i="5"/>
  <c r="L130" i="5"/>
  <c r="K130" i="5"/>
  <c r="I130" i="5"/>
  <c r="H130" i="5"/>
  <c r="G130" i="5"/>
  <c r="F130" i="5"/>
  <c r="R130" i="5" s="1"/>
  <c r="E130" i="5"/>
  <c r="C130" i="5"/>
  <c r="B130" i="5"/>
  <c r="Q129" i="5"/>
  <c r="P129" i="5"/>
  <c r="M129" i="5"/>
  <c r="J129" i="5"/>
  <c r="G129" i="5"/>
  <c r="F129" i="5"/>
  <c r="D129" i="5"/>
  <c r="O128" i="5"/>
  <c r="N128" i="5"/>
  <c r="L128" i="5"/>
  <c r="K128" i="5"/>
  <c r="M128" i="5" s="1"/>
  <c r="J128" i="5"/>
  <c r="I128" i="5"/>
  <c r="G128" i="5"/>
  <c r="F128" i="5"/>
  <c r="C128" i="5"/>
  <c r="B128" i="5"/>
  <c r="M126" i="5"/>
  <c r="L126" i="5"/>
  <c r="I126" i="5"/>
  <c r="C126" i="5"/>
  <c r="N125" i="5"/>
  <c r="P125" i="5" s="1"/>
  <c r="M125" i="5"/>
  <c r="K125" i="5"/>
  <c r="J125" i="5"/>
  <c r="I125" i="5"/>
  <c r="E125" i="5"/>
  <c r="G125" i="5" s="1"/>
  <c r="D125" i="5"/>
  <c r="C125" i="5"/>
  <c r="R125" i="5" s="1"/>
  <c r="B125" i="5"/>
  <c r="R124" i="5"/>
  <c r="N124" i="5"/>
  <c r="N126" i="5" s="1"/>
  <c r="K124" i="5"/>
  <c r="K126" i="5" s="1"/>
  <c r="H124" i="5"/>
  <c r="J124" i="5" s="1"/>
  <c r="G124" i="5"/>
  <c r="E124" i="5"/>
  <c r="E126" i="5" s="1"/>
  <c r="D124" i="5"/>
  <c r="B124" i="5"/>
  <c r="O123" i="5"/>
  <c r="P123" i="5" s="1"/>
  <c r="M123" i="5"/>
  <c r="L123" i="5"/>
  <c r="I123" i="5"/>
  <c r="H123" i="5"/>
  <c r="F123" i="5"/>
  <c r="E123" i="5"/>
  <c r="C123" i="5"/>
  <c r="B123" i="5"/>
  <c r="S122" i="5"/>
  <c r="R122" i="5"/>
  <c r="Q122" i="5"/>
  <c r="P122" i="5"/>
  <c r="M122" i="5"/>
  <c r="J122" i="5"/>
  <c r="G122" i="5"/>
  <c r="D122" i="5"/>
  <c r="O121" i="5"/>
  <c r="N121" i="5"/>
  <c r="P121" i="5" s="1"/>
  <c r="H121" i="5"/>
  <c r="Q120" i="5"/>
  <c r="P120" i="5"/>
  <c r="O120" i="5"/>
  <c r="N120" i="5"/>
  <c r="L120" i="5"/>
  <c r="K120" i="5"/>
  <c r="M120" i="5" s="1"/>
  <c r="J120" i="5"/>
  <c r="I120" i="5"/>
  <c r="H120" i="5"/>
  <c r="F120" i="5"/>
  <c r="E120" i="5"/>
  <c r="G120" i="5" s="1"/>
  <c r="C120" i="5"/>
  <c r="R120" i="5" s="1"/>
  <c r="B120" i="5"/>
  <c r="Q119" i="5"/>
  <c r="P119" i="5"/>
  <c r="M119" i="5"/>
  <c r="J119" i="5"/>
  <c r="G119" i="5"/>
  <c r="C119" i="5"/>
  <c r="O118" i="5"/>
  <c r="N118" i="5"/>
  <c r="P118" i="5" s="1"/>
  <c r="M118" i="5"/>
  <c r="L118" i="5"/>
  <c r="L121" i="5" s="1"/>
  <c r="K118" i="5"/>
  <c r="I118" i="5"/>
  <c r="I121" i="5" s="1"/>
  <c r="H118" i="5"/>
  <c r="J118" i="5" s="1"/>
  <c r="G118" i="5"/>
  <c r="F118" i="5"/>
  <c r="E118" i="5"/>
  <c r="C118" i="5"/>
  <c r="B118" i="5"/>
  <c r="R117" i="5"/>
  <c r="S117" i="5" s="1"/>
  <c r="Q117" i="5"/>
  <c r="P117" i="5"/>
  <c r="M117" i="5"/>
  <c r="J117" i="5"/>
  <c r="G117" i="5"/>
  <c r="D117" i="5"/>
  <c r="H116" i="5"/>
  <c r="O115" i="5"/>
  <c r="N115" i="5"/>
  <c r="P115" i="5" s="1"/>
  <c r="L115" i="5"/>
  <c r="M115" i="5" s="1"/>
  <c r="K115" i="5"/>
  <c r="I115" i="5"/>
  <c r="J115" i="5" s="1"/>
  <c r="H115" i="5"/>
  <c r="F115" i="5"/>
  <c r="G115" i="5" s="1"/>
  <c r="C115" i="5"/>
  <c r="Q114" i="5"/>
  <c r="P114" i="5"/>
  <c r="M114" i="5"/>
  <c r="J114" i="5"/>
  <c r="F114" i="5"/>
  <c r="G114" i="5" s="1"/>
  <c r="C114" i="5"/>
  <c r="D114" i="5" s="1"/>
  <c r="Q113" i="5"/>
  <c r="P113" i="5"/>
  <c r="K113" i="5"/>
  <c r="M113" i="5" s="1"/>
  <c r="J113" i="5"/>
  <c r="G113" i="5"/>
  <c r="C113" i="5"/>
  <c r="Q112" i="5"/>
  <c r="P112" i="5"/>
  <c r="L112" i="5"/>
  <c r="R112" i="5" s="1"/>
  <c r="S112" i="5" s="1"/>
  <c r="J112" i="5"/>
  <c r="G112" i="5"/>
  <c r="D112" i="5"/>
  <c r="R111" i="5"/>
  <c r="P111" i="5"/>
  <c r="L111" i="5"/>
  <c r="K111" i="5"/>
  <c r="J111" i="5"/>
  <c r="G111" i="5"/>
  <c r="C111" i="5"/>
  <c r="D111" i="5" s="1"/>
  <c r="R110" i="5"/>
  <c r="P110" i="5"/>
  <c r="M110" i="5"/>
  <c r="J110" i="5"/>
  <c r="G110" i="5"/>
  <c r="B110" i="5"/>
  <c r="D110" i="5" s="1"/>
  <c r="R109" i="5"/>
  <c r="P109" i="5"/>
  <c r="M109" i="5"/>
  <c r="J109" i="5"/>
  <c r="G109" i="5"/>
  <c r="B109" i="5"/>
  <c r="D109" i="5" s="1"/>
  <c r="R108" i="5"/>
  <c r="Q108" i="5"/>
  <c r="S108" i="5" s="1"/>
  <c r="P108" i="5"/>
  <c r="M108" i="5"/>
  <c r="J108" i="5"/>
  <c r="I108" i="5"/>
  <c r="G108" i="5"/>
  <c r="D108" i="5"/>
  <c r="O107" i="5"/>
  <c r="N107" i="5"/>
  <c r="P107" i="5" s="1"/>
  <c r="M107" i="5"/>
  <c r="L107" i="5"/>
  <c r="K107" i="5"/>
  <c r="I107" i="5"/>
  <c r="I116" i="5" s="1"/>
  <c r="I127" i="5" s="1"/>
  <c r="H107" i="5"/>
  <c r="G107" i="5"/>
  <c r="F107" i="5"/>
  <c r="E107" i="5"/>
  <c r="C107" i="5"/>
  <c r="B107" i="5"/>
  <c r="O106" i="5"/>
  <c r="M106" i="5"/>
  <c r="L106" i="5"/>
  <c r="K106" i="5"/>
  <c r="J106" i="5"/>
  <c r="I106" i="5"/>
  <c r="F106" i="5"/>
  <c r="G106" i="5" s="1"/>
  <c r="E106" i="5"/>
  <c r="Q106" i="5" s="1"/>
  <c r="C106" i="5"/>
  <c r="R105" i="5"/>
  <c r="P105" i="5"/>
  <c r="O105" i="5"/>
  <c r="N105" i="5"/>
  <c r="L105" i="5"/>
  <c r="M105" i="5" s="1"/>
  <c r="J105" i="5"/>
  <c r="H105" i="5"/>
  <c r="G105" i="5"/>
  <c r="C105" i="5"/>
  <c r="B105" i="5"/>
  <c r="D105" i="5" s="1"/>
  <c r="O104" i="5"/>
  <c r="N104" i="5"/>
  <c r="M104" i="5"/>
  <c r="L104" i="5"/>
  <c r="K104" i="5"/>
  <c r="I104" i="5"/>
  <c r="H104" i="5"/>
  <c r="J104" i="5" s="1"/>
  <c r="F104" i="5"/>
  <c r="E104" i="5"/>
  <c r="E116" i="5" s="1"/>
  <c r="C104" i="5"/>
  <c r="B104" i="5"/>
  <c r="R103" i="5"/>
  <c r="S103" i="5" s="1"/>
  <c r="Q103" i="5"/>
  <c r="P103" i="5"/>
  <c r="M103" i="5"/>
  <c r="J103" i="5"/>
  <c r="G103" i="5"/>
  <c r="D103" i="5"/>
  <c r="R102" i="5"/>
  <c r="S102" i="5" s="1"/>
  <c r="Q102" i="5"/>
  <c r="P102" i="5"/>
  <c r="M102" i="5"/>
  <c r="J102" i="5"/>
  <c r="G102" i="5"/>
  <c r="D102" i="5"/>
  <c r="N101" i="5"/>
  <c r="K101" i="5"/>
  <c r="H101" i="5"/>
  <c r="F101" i="5"/>
  <c r="D101" i="5"/>
  <c r="R100" i="5"/>
  <c r="P100" i="5"/>
  <c r="M100" i="5"/>
  <c r="J100" i="5"/>
  <c r="G100" i="5"/>
  <c r="D100" i="5"/>
  <c r="C100" i="5"/>
  <c r="B100" i="5"/>
  <c r="Q100" i="5" s="1"/>
  <c r="S100" i="5" s="1"/>
  <c r="P99" i="5"/>
  <c r="O99" i="5"/>
  <c r="M99" i="5"/>
  <c r="L99" i="5"/>
  <c r="J99" i="5"/>
  <c r="I99" i="5"/>
  <c r="F99" i="5"/>
  <c r="E99" i="5"/>
  <c r="G99" i="5" s="1"/>
  <c r="C99" i="5"/>
  <c r="D99" i="5" s="1"/>
  <c r="B99" i="5"/>
  <c r="O98" i="5"/>
  <c r="O101" i="5" s="1"/>
  <c r="P101" i="5" s="1"/>
  <c r="L98" i="5"/>
  <c r="R98" i="5" s="1"/>
  <c r="K98" i="5"/>
  <c r="J98" i="5"/>
  <c r="I98" i="5"/>
  <c r="I101" i="5" s="1"/>
  <c r="J101" i="5" s="1"/>
  <c r="F98" i="5"/>
  <c r="E98" i="5"/>
  <c r="D98" i="5"/>
  <c r="C98" i="5"/>
  <c r="C101" i="5" s="1"/>
  <c r="B98" i="5"/>
  <c r="B101" i="5" s="1"/>
  <c r="Q97" i="5"/>
  <c r="P97" i="5"/>
  <c r="M97" i="5"/>
  <c r="L97" i="5"/>
  <c r="R97" i="5" s="1"/>
  <c r="J97" i="5"/>
  <c r="G97" i="5"/>
  <c r="D97" i="5"/>
  <c r="N95" i="5"/>
  <c r="L95" i="5"/>
  <c r="H95" i="5"/>
  <c r="B95" i="5"/>
  <c r="R94" i="5"/>
  <c r="O94" i="5"/>
  <c r="O95" i="5" s="1"/>
  <c r="N94" i="5"/>
  <c r="P94" i="5" s="1"/>
  <c r="L94" i="5"/>
  <c r="M94" i="5" s="1"/>
  <c r="K94" i="5"/>
  <c r="K95" i="5" s="1"/>
  <c r="I94" i="5"/>
  <c r="J94" i="5" s="1"/>
  <c r="G94" i="5"/>
  <c r="F94" i="5"/>
  <c r="F95" i="5" s="1"/>
  <c r="E94" i="5"/>
  <c r="E95" i="5" s="1"/>
  <c r="G95" i="5" s="1"/>
  <c r="D94" i="5"/>
  <c r="C94" i="5"/>
  <c r="C95" i="5" s="1"/>
  <c r="B94" i="5"/>
  <c r="Q94" i="5" s="1"/>
  <c r="S93" i="5"/>
  <c r="R93" i="5"/>
  <c r="Q93" i="5"/>
  <c r="P93" i="5"/>
  <c r="M93" i="5"/>
  <c r="J93" i="5"/>
  <c r="G93" i="5"/>
  <c r="D93" i="5"/>
  <c r="I92" i="5"/>
  <c r="C92" i="5"/>
  <c r="O91" i="5"/>
  <c r="N91" i="5"/>
  <c r="M91" i="5"/>
  <c r="L91" i="5"/>
  <c r="K91" i="5"/>
  <c r="I91" i="5"/>
  <c r="H91" i="5"/>
  <c r="J91" i="5" s="1"/>
  <c r="G91" i="5"/>
  <c r="F91" i="5"/>
  <c r="E91" i="5"/>
  <c r="C91" i="5"/>
  <c r="B91" i="5"/>
  <c r="O90" i="5"/>
  <c r="N90" i="5"/>
  <c r="M90" i="5"/>
  <c r="K90" i="5"/>
  <c r="J90" i="5"/>
  <c r="H90" i="5"/>
  <c r="G90" i="5"/>
  <c r="E90" i="5"/>
  <c r="D90" i="5"/>
  <c r="C90" i="5"/>
  <c r="B90" i="5"/>
  <c r="Q90" i="5" s="1"/>
  <c r="R89" i="5"/>
  <c r="P89" i="5"/>
  <c r="O89" i="5"/>
  <c r="N89" i="5"/>
  <c r="L89" i="5"/>
  <c r="K89" i="5"/>
  <c r="M89" i="5" s="1"/>
  <c r="J89" i="5"/>
  <c r="I89" i="5"/>
  <c r="H89" i="5"/>
  <c r="F89" i="5"/>
  <c r="E89" i="5"/>
  <c r="D89" i="5"/>
  <c r="B89" i="5"/>
  <c r="P88" i="5"/>
  <c r="O88" i="5"/>
  <c r="N88" i="5"/>
  <c r="L88" i="5"/>
  <c r="K88" i="5"/>
  <c r="M88" i="5" s="1"/>
  <c r="H88" i="5"/>
  <c r="J88" i="5" s="1"/>
  <c r="G88" i="5"/>
  <c r="F88" i="5"/>
  <c r="R88" i="5" s="1"/>
  <c r="E88" i="5"/>
  <c r="D88" i="5"/>
  <c r="B88" i="5"/>
  <c r="Q88" i="5" s="1"/>
  <c r="O87" i="5"/>
  <c r="K87" i="5"/>
  <c r="M87" i="5" s="1"/>
  <c r="J87" i="5"/>
  <c r="H87" i="5"/>
  <c r="E87" i="5"/>
  <c r="G87" i="5" s="1"/>
  <c r="B87" i="5"/>
  <c r="P86" i="5"/>
  <c r="O86" i="5"/>
  <c r="N86" i="5"/>
  <c r="N92" i="5" s="1"/>
  <c r="M86" i="5"/>
  <c r="L86" i="5"/>
  <c r="K86" i="5"/>
  <c r="J86" i="5"/>
  <c r="I86" i="5"/>
  <c r="H86" i="5"/>
  <c r="H92" i="5" s="1"/>
  <c r="J92" i="5" s="1"/>
  <c r="G86" i="5"/>
  <c r="F86" i="5"/>
  <c r="F92" i="5" s="1"/>
  <c r="E86" i="5"/>
  <c r="E92" i="5" s="1"/>
  <c r="G92" i="5" s="1"/>
  <c r="D86" i="5"/>
  <c r="C86" i="5"/>
  <c r="R86" i="5" s="1"/>
  <c r="B86" i="5"/>
  <c r="Q86" i="5" s="1"/>
  <c r="Q85" i="5"/>
  <c r="O85" i="5"/>
  <c r="M85" i="5"/>
  <c r="J85" i="5"/>
  <c r="G85" i="5"/>
  <c r="D85" i="5"/>
  <c r="O84" i="5"/>
  <c r="L84" i="5"/>
  <c r="F84" i="5"/>
  <c r="F96" i="5" s="1"/>
  <c r="P83" i="5"/>
  <c r="N83" i="5"/>
  <c r="N84" i="5" s="1"/>
  <c r="P84" i="5" s="1"/>
  <c r="L83" i="5"/>
  <c r="K83" i="5"/>
  <c r="K84" i="5" s="1"/>
  <c r="J83" i="5"/>
  <c r="I83" i="5"/>
  <c r="I84" i="5" s="1"/>
  <c r="H83" i="5"/>
  <c r="H84" i="5" s="1"/>
  <c r="F83" i="5"/>
  <c r="R83" i="5" s="1"/>
  <c r="E83" i="5"/>
  <c r="Q83" i="5" s="1"/>
  <c r="D83" i="5"/>
  <c r="C83" i="5"/>
  <c r="C84" i="5" s="1"/>
  <c r="C96" i="5" s="1"/>
  <c r="B83" i="5"/>
  <c r="B84" i="5" s="1"/>
  <c r="R82" i="5"/>
  <c r="Q82" i="5"/>
  <c r="S82" i="5" s="1"/>
  <c r="P82" i="5"/>
  <c r="M82" i="5"/>
  <c r="J82" i="5"/>
  <c r="G82" i="5"/>
  <c r="D82" i="5"/>
  <c r="S81" i="5"/>
  <c r="R81" i="5"/>
  <c r="Q81" i="5"/>
  <c r="P81" i="5"/>
  <c r="M81" i="5"/>
  <c r="J81" i="5"/>
  <c r="G81" i="5"/>
  <c r="D81" i="5"/>
  <c r="Q79" i="5"/>
  <c r="O79" i="5"/>
  <c r="P79" i="5" s="1"/>
  <c r="M79" i="5"/>
  <c r="L79" i="5"/>
  <c r="J79" i="5"/>
  <c r="I79" i="5"/>
  <c r="F79" i="5"/>
  <c r="G79" i="5" s="1"/>
  <c r="D79" i="5"/>
  <c r="C79" i="5"/>
  <c r="R78" i="5"/>
  <c r="Q78" i="5"/>
  <c r="S78" i="5" s="1"/>
  <c r="N78" i="5"/>
  <c r="P78" i="5" s="1"/>
  <c r="M78" i="5"/>
  <c r="J78" i="5"/>
  <c r="G78" i="5"/>
  <c r="D78" i="5"/>
  <c r="O77" i="5"/>
  <c r="N77" i="5"/>
  <c r="P77" i="5" s="1"/>
  <c r="L77" i="5"/>
  <c r="K77" i="5"/>
  <c r="M77" i="5" s="1"/>
  <c r="I77" i="5"/>
  <c r="H77" i="5"/>
  <c r="J77" i="5" s="1"/>
  <c r="F77" i="5"/>
  <c r="R77" i="5" s="1"/>
  <c r="E77" i="5"/>
  <c r="G77" i="5" s="1"/>
  <c r="C77" i="5"/>
  <c r="B77" i="5"/>
  <c r="D77" i="5" s="1"/>
  <c r="P76" i="5"/>
  <c r="O76" i="5"/>
  <c r="L76" i="5"/>
  <c r="K76" i="5"/>
  <c r="M76" i="5" s="1"/>
  <c r="J76" i="5"/>
  <c r="I76" i="5"/>
  <c r="I80" i="5" s="1"/>
  <c r="F76" i="5"/>
  <c r="G76" i="5" s="1"/>
  <c r="C76" i="5"/>
  <c r="D76" i="5" s="1"/>
  <c r="O75" i="5"/>
  <c r="N75" i="5"/>
  <c r="P75" i="5" s="1"/>
  <c r="M75" i="5"/>
  <c r="L75" i="5"/>
  <c r="K75" i="5"/>
  <c r="I75" i="5"/>
  <c r="H75" i="5"/>
  <c r="H80" i="5" s="1"/>
  <c r="J80" i="5" s="1"/>
  <c r="G75" i="5"/>
  <c r="F75" i="5"/>
  <c r="E75" i="5"/>
  <c r="C75" i="5"/>
  <c r="B75" i="5"/>
  <c r="S74" i="5"/>
  <c r="R74" i="5"/>
  <c r="Q74" i="5"/>
  <c r="P74" i="5"/>
  <c r="M74" i="5"/>
  <c r="J74" i="5"/>
  <c r="G74" i="5"/>
  <c r="D74" i="5"/>
  <c r="R72" i="5"/>
  <c r="P72" i="5"/>
  <c r="N72" i="5"/>
  <c r="M72" i="5"/>
  <c r="K72" i="5"/>
  <c r="J72" i="5"/>
  <c r="G72" i="5"/>
  <c r="D72" i="5"/>
  <c r="B72" i="5"/>
  <c r="Q72" i="5" s="1"/>
  <c r="K71" i="5"/>
  <c r="M71" i="5" s="1"/>
  <c r="I71" i="5"/>
  <c r="E71" i="5"/>
  <c r="C71" i="5"/>
  <c r="Q70" i="5"/>
  <c r="O70" i="5"/>
  <c r="O71" i="5" s="1"/>
  <c r="N70" i="5"/>
  <c r="N71" i="5" s="1"/>
  <c r="L70" i="5"/>
  <c r="L71" i="5" s="1"/>
  <c r="K70" i="5"/>
  <c r="M70" i="5" s="1"/>
  <c r="I70" i="5"/>
  <c r="H70" i="5"/>
  <c r="J70" i="5" s="1"/>
  <c r="F70" i="5"/>
  <c r="F71" i="5" s="1"/>
  <c r="E70" i="5"/>
  <c r="G70" i="5" s="1"/>
  <c r="C70" i="5"/>
  <c r="B70" i="5"/>
  <c r="D70" i="5" s="1"/>
  <c r="R69" i="5"/>
  <c r="Q69" i="5"/>
  <c r="S69" i="5" s="1"/>
  <c r="P69" i="5"/>
  <c r="M69" i="5"/>
  <c r="J69" i="5"/>
  <c r="G69" i="5"/>
  <c r="D69" i="5"/>
  <c r="E68" i="5"/>
  <c r="G68" i="5" s="1"/>
  <c r="P67" i="5"/>
  <c r="O67" i="5"/>
  <c r="O68" i="5" s="1"/>
  <c r="N67" i="5"/>
  <c r="N68" i="5" s="1"/>
  <c r="P68" i="5" s="1"/>
  <c r="L67" i="5"/>
  <c r="L68" i="5" s="1"/>
  <c r="K67" i="5"/>
  <c r="M67" i="5" s="1"/>
  <c r="J67" i="5"/>
  <c r="I67" i="5"/>
  <c r="I68" i="5" s="1"/>
  <c r="H67" i="5"/>
  <c r="H68" i="5" s="1"/>
  <c r="J68" i="5" s="1"/>
  <c r="F67" i="5"/>
  <c r="F68" i="5" s="1"/>
  <c r="E67" i="5"/>
  <c r="G67" i="5" s="1"/>
  <c r="D67" i="5"/>
  <c r="C67" i="5"/>
  <c r="C68" i="5" s="1"/>
  <c r="R68" i="5" s="1"/>
  <c r="B67" i="5"/>
  <c r="B68" i="5" s="1"/>
  <c r="D68" i="5" s="1"/>
  <c r="R66" i="5"/>
  <c r="Q66" i="5"/>
  <c r="S66" i="5" s="1"/>
  <c r="P66" i="5"/>
  <c r="M66" i="5"/>
  <c r="J66" i="5"/>
  <c r="G66" i="5"/>
  <c r="D66" i="5"/>
  <c r="O65" i="5"/>
  <c r="O73" i="5" s="1"/>
  <c r="O64" i="5"/>
  <c r="P64" i="5" s="1"/>
  <c r="N64" i="5"/>
  <c r="L64" i="5"/>
  <c r="M64" i="5" s="1"/>
  <c r="K64" i="5"/>
  <c r="I64" i="5"/>
  <c r="J64" i="5" s="1"/>
  <c r="H64" i="5"/>
  <c r="G64" i="5"/>
  <c r="F64" i="5"/>
  <c r="E64" i="5"/>
  <c r="Q64" i="5" s="1"/>
  <c r="C64" i="5"/>
  <c r="D64" i="5" s="1"/>
  <c r="B64" i="5"/>
  <c r="O63" i="5"/>
  <c r="P63" i="5" s="1"/>
  <c r="N63" i="5"/>
  <c r="N65" i="5" s="1"/>
  <c r="M63" i="5"/>
  <c r="L63" i="5"/>
  <c r="L65" i="5" s="1"/>
  <c r="K63" i="5"/>
  <c r="K65" i="5" s="1"/>
  <c r="I63" i="5"/>
  <c r="J63" i="5" s="1"/>
  <c r="H63" i="5"/>
  <c r="H65" i="5" s="1"/>
  <c r="F63" i="5"/>
  <c r="R63" i="5" s="1"/>
  <c r="E63" i="5"/>
  <c r="E65" i="5" s="1"/>
  <c r="C63" i="5"/>
  <c r="D63" i="5" s="1"/>
  <c r="B63" i="5"/>
  <c r="B65" i="5" s="1"/>
  <c r="Q62" i="5"/>
  <c r="P62" i="5"/>
  <c r="M62" i="5"/>
  <c r="J62" i="5"/>
  <c r="F62" i="5"/>
  <c r="R62" i="5" s="1"/>
  <c r="S62" i="5" s="1"/>
  <c r="D62" i="5"/>
  <c r="R61" i="5"/>
  <c r="S61" i="5" s="1"/>
  <c r="Q61" i="5"/>
  <c r="P61" i="5"/>
  <c r="M61" i="5"/>
  <c r="J61" i="5"/>
  <c r="G61" i="5"/>
  <c r="D61" i="5"/>
  <c r="Q57" i="5"/>
  <c r="P57" i="5"/>
  <c r="O57" i="5"/>
  <c r="M57" i="5"/>
  <c r="L57" i="5"/>
  <c r="I57" i="5"/>
  <c r="R57" i="5" s="1"/>
  <c r="G57" i="5"/>
  <c r="D57" i="5"/>
  <c r="Q56" i="5"/>
  <c r="P56" i="5"/>
  <c r="M56" i="5"/>
  <c r="L56" i="5"/>
  <c r="J56" i="5"/>
  <c r="I56" i="5"/>
  <c r="R56" i="5" s="1"/>
  <c r="S56" i="5" s="1"/>
  <c r="G56" i="5"/>
  <c r="D56" i="5"/>
  <c r="N55" i="5"/>
  <c r="B55" i="5"/>
  <c r="O54" i="5"/>
  <c r="P54" i="5" s="1"/>
  <c r="M54" i="5"/>
  <c r="L54" i="5"/>
  <c r="I54" i="5"/>
  <c r="J54" i="5" s="1"/>
  <c r="H54" i="5"/>
  <c r="F54" i="5"/>
  <c r="E54" i="5"/>
  <c r="Q54" i="5" s="1"/>
  <c r="C54" i="5"/>
  <c r="B54" i="5"/>
  <c r="R53" i="5"/>
  <c r="N53" i="5"/>
  <c r="P53" i="5" s="1"/>
  <c r="K53" i="5"/>
  <c r="M53" i="5" s="1"/>
  <c r="H53" i="5"/>
  <c r="J53" i="5" s="1"/>
  <c r="E53" i="5"/>
  <c r="G53" i="5" s="1"/>
  <c r="B53" i="5"/>
  <c r="D53" i="5" s="1"/>
  <c r="R52" i="5"/>
  <c r="Q52" i="5"/>
  <c r="S52" i="5" s="1"/>
  <c r="P52" i="5"/>
  <c r="N52" i="5"/>
  <c r="M52" i="5"/>
  <c r="K52" i="5"/>
  <c r="H52" i="5"/>
  <c r="J52" i="5" s="1"/>
  <c r="G52" i="5"/>
  <c r="E52" i="5"/>
  <c r="D52" i="5"/>
  <c r="B52" i="5"/>
  <c r="O51" i="5"/>
  <c r="N51" i="5"/>
  <c r="P51" i="5" s="1"/>
  <c r="L51" i="5"/>
  <c r="L55" i="5" s="1"/>
  <c r="K51" i="5"/>
  <c r="K55" i="5" s="1"/>
  <c r="M55" i="5" s="1"/>
  <c r="I51" i="5"/>
  <c r="H51" i="5"/>
  <c r="J51" i="5" s="1"/>
  <c r="F51" i="5"/>
  <c r="E51" i="5"/>
  <c r="E55" i="5" s="1"/>
  <c r="C51" i="5"/>
  <c r="R51" i="5" s="1"/>
  <c r="B51" i="5"/>
  <c r="Q50" i="5"/>
  <c r="O50" i="5"/>
  <c r="P50" i="5" s="1"/>
  <c r="M50" i="5"/>
  <c r="I50" i="5"/>
  <c r="I55" i="5" s="1"/>
  <c r="G50" i="5"/>
  <c r="D50" i="5"/>
  <c r="R49" i="5"/>
  <c r="S49" i="5" s="1"/>
  <c r="Q49" i="5"/>
  <c r="O49" i="5"/>
  <c r="P49" i="5" s="1"/>
  <c r="L49" i="5"/>
  <c r="M49" i="5" s="1"/>
  <c r="J49" i="5"/>
  <c r="G49" i="5"/>
  <c r="D49" i="5"/>
  <c r="Q47" i="5"/>
  <c r="S47" i="5" s="1"/>
  <c r="O47" i="5"/>
  <c r="R47" i="5" s="1"/>
  <c r="M47" i="5"/>
  <c r="J47" i="5"/>
  <c r="G47" i="5"/>
  <c r="D47" i="5"/>
  <c r="O46" i="5"/>
  <c r="N46" i="5"/>
  <c r="P46" i="5" s="1"/>
  <c r="L46" i="5"/>
  <c r="K46" i="5"/>
  <c r="M46" i="5" s="1"/>
  <c r="I46" i="5"/>
  <c r="H46" i="5"/>
  <c r="H48" i="5" s="1"/>
  <c r="F46" i="5"/>
  <c r="R46" i="5" s="1"/>
  <c r="E46" i="5"/>
  <c r="E48" i="5" s="1"/>
  <c r="G48" i="5" s="1"/>
  <c r="D46" i="5"/>
  <c r="C46" i="5"/>
  <c r="S45" i="5"/>
  <c r="R45" i="5"/>
  <c r="Q45" i="5"/>
  <c r="P45" i="5"/>
  <c r="O45" i="5"/>
  <c r="M45" i="5"/>
  <c r="J45" i="5"/>
  <c r="G45" i="5"/>
  <c r="D45" i="5"/>
  <c r="O44" i="5"/>
  <c r="P44" i="5" s="1"/>
  <c r="N44" i="5"/>
  <c r="L44" i="5"/>
  <c r="L48" i="5" s="1"/>
  <c r="K44" i="5"/>
  <c r="I44" i="5"/>
  <c r="I48" i="5" s="1"/>
  <c r="H44" i="5"/>
  <c r="F44" i="5"/>
  <c r="F48" i="5" s="1"/>
  <c r="E44" i="5"/>
  <c r="C44" i="5"/>
  <c r="C48" i="5" s="1"/>
  <c r="B44" i="5"/>
  <c r="Q44" i="5" s="1"/>
  <c r="R43" i="5"/>
  <c r="S43" i="5" s="1"/>
  <c r="Q43" i="5"/>
  <c r="P43" i="5"/>
  <c r="M43" i="5"/>
  <c r="J43" i="5"/>
  <c r="G43" i="5"/>
  <c r="D43" i="5"/>
  <c r="O41" i="5"/>
  <c r="N41" i="5"/>
  <c r="P41" i="5" s="1"/>
  <c r="L41" i="5"/>
  <c r="K41" i="5"/>
  <c r="I41" i="5"/>
  <c r="J41" i="5" s="1"/>
  <c r="H41" i="5"/>
  <c r="F41" i="5"/>
  <c r="E41" i="5"/>
  <c r="G41" i="5" s="1"/>
  <c r="C41" i="5"/>
  <c r="R41" i="5" s="1"/>
  <c r="B41" i="5"/>
  <c r="D41" i="5" s="1"/>
  <c r="P40" i="5"/>
  <c r="O40" i="5"/>
  <c r="N40" i="5"/>
  <c r="L40" i="5"/>
  <c r="K40" i="5"/>
  <c r="I40" i="5"/>
  <c r="J40" i="5" s="1"/>
  <c r="H40" i="5"/>
  <c r="F40" i="5"/>
  <c r="F42" i="5" s="1"/>
  <c r="E40" i="5"/>
  <c r="G40" i="5" s="1"/>
  <c r="C40" i="5"/>
  <c r="R40" i="5" s="1"/>
  <c r="B40" i="5"/>
  <c r="Q40" i="5" s="1"/>
  <c r="S40" i="5" s="1"/>
  <c r="O39" i="5"/>
  <c r="N39" i="5"/>
  <c r="P39" i="5" s="1"/>
  <c r="L39" i="5"/>
  <c r="K39" i="5"/>
  <c r="I39" i="5"/>
  <c r="J39" i="5" s="1"/>
  <c r="F39" i="5"/>
  <c r="E39" i="5"/>
  <c r="G39" i="5" s="1"/>
  <c r="C39" i="5"/>
  <c r="R39" i="5" s="1"/>
  <c r="B39" i="5"/>
  <c r="D39" i="5" s="1"/>
  <c r="R38" i="5"/>
  <c r="Q38" i="5"/>
  <c r="S38" i="5" s="1"/>
  <c r="N38" i="5"/>
  <c r="P38" i="5" s="1"/>
  <c r="M38" i="5"/>
  <c r="K38" i="5"/>
  <c r="H38" i="5"/>
  <c r="J38" i="5" s="1"/>
  <c r="G38" i="5"/>
  <c r="E38" i="5"/>
  <c r="B38" i="5"/>
  <c r="D38" i="5" s="1"/>
  <c r="P37" i="5"/>
  <c r="O37" i="5"/>
  <c r="O42" i="5" s="1"/>
  <c r="N37" i="5"/>
  <c r="N42" i="5" s="1"/>
  <c r="P42" i="5" s="1"/>
  <c r="L37" i="5"/>
  <c r="L42" i="5" s="1"/>
  <c r="K37" i="5"/>
  <c r="I37" i="5"/>
  <c r="I42" i="5" s="1"/>
  <c r="F37" i="5"/>
  <c r="E37" i="5"/>
  <c r="G37" i="5" s="1"/>
  <c r="C37" i="5"/>
  <c r="C42" i="5" s="1"/>
  <c r="B37" i="5"/>
  <c r="B42" i="5" s="1"/>
  <c r="R36" i="5"/>
  <c r="Q36" i="5"/>
  <c r="S36" i="5" s="1"/>
  <c r="P36" i="5"/>
  <c r="M36" i="5"/>
  <c r="J36" i="5"/>
  <c r="G36" i="5"/>
  <c r="D36" i="5"/>
  <c r="E35" i="5"/>
  <c r="G35" i="5" s="1"/>
  <c r="P34" i="5"/>
  <c r="O34" i="5"/>
  <c r="N34" i="5"/>
  <c r="M34" i="5"/>
  <c r="L34" i="5"/>
  <c r="K34" i="5"/>
  <c r="K35" i="5" s="1"/>
  <c r="J34" i="5"/>
  <c r="I34" i="5"/>
  <c r="H34" i="5"/>
  <c r="G34" i="5"/>
  <c r="F34" i="5"/>
  <c r="R34" i="5" s="1"/>
  <c r="E34" i="5"/>
  <c r="Q34" i="5" s="1"/>
  <c r="S34" i="5" s="1"/>
  <c r="D34" i="5"/>
  <c r="C34" i="5"/>
  <c r="B34" i="5"/>
  <c r="S33" i="5"/>
  <c r="R33" i="5"/>
  <c r="Q33" i="5"/>
  <c r="P33" i="5"/>
  <c r="M33" i="5"/>
  <c r="K33" i="5"/>
  <c r="J33" i="5"/>
  <c r="G33" i="5"/>
  <c r="D33" i="5"/>
  <c r="O32" i="5"/>
  <c r="O35" i="5" s="1"/>
  <c r="P35" i="5" s="1"/>
  <c r="N32" i="5"/>
  <c r="N35" i="5" s="1"/>
  <c r="L32" i="5"/>
  <c r="M32" i="5" s="1"/>
  <c r="K32" i="5"/>
  <c r="I32" i="5"/>
  <c r="J32" i="5" s="1"/>
  <c r="H32" i="5"/>
  <c r="H35" i="5" s="1"/>
  <c r="F32" i="5"/>
  <c r="F35" i="5" s="1"/>
  <c r="E32" i="5"/>
  <c r="C32" i="5"/>
  <c r="R32" i="5" s="1"/>
  <c r="B32" i="5"/>
  <c r="R31" i="5"/>
  <c r="S31" i="5" s="1"/>
  <c r="Q31" i="5"/>
  <c r="P31" i="5"/>
  <c r="M31" i="5"/>
  <c r="I31" i="5"/>
  <c r="J31" i="5" s="1"/>
  <c r="G31" i="5"/>
  <c r="D31" i="5"/>
  <c r="Q29" i="5"/>
  <c r="P29" i="5"/>
  <c r="M29" i="5"/>
  <c r="L29" i="5"/>
  <c r="I29" i="5"/>
  <c r="J29" i="5" s="1"/>
  <c r="G29" i="5"/>
  <c r="D29" i="5"/>
  <c r="P28" i="5"/>
  <c r="M28" i="5"/>
  <c r="K28" i="5"/>
  <c r="J28" i="5"/>
  <c r="G28" i="5"/>
  <c r="C28" i="5"/>
  <c r="R28" i="5" s="1"/>
  <c r="B28" i="5"/>
  <c r="Q28" i="5" s="1"/>
  <c r="S28" i="5" s="1"/>
  <c r="R27" i="5"/>
  <c r="P27" i="5"/>
  <c r="O27" i="5"/>
  <c r="N27" i="5"/>
  <c r="M27" i="5"/>
  <c r="L27" i="5"/>
  <c r="K27" i="5"/>
  <c r="J27" i="5"/>
  <c r="I27" i="5"/>
  <c r="H27" i="5"/>
  <c r="G27" i="5"/>
  <c r="E27" i="5"/>
  <c r="B27" i="5"/>
  <c r="L26" i="5"/>
  <c r="H26" i="5"/>
  <c r="J26" i="5" s="1"/>
  <c r="F26" i="5"/>
  <c r="E26" i="5"/>
  <c r="G26" i="5" s="1"/>
  <c r="Q25" i="5"/>
  <c r="P25" i="5"/>
  <c r="O25" i="5"/>
  <c r="L25" i="5"/>
  <c r="M25" i="5" s="1"/>
  <c r="I25" i="5"/>
  <c r="J25" i="5" s="1"/>
  <c r="G25" i="5"/>
  <c r="F25" i="5"/>
  <c r="C25" i="5"/>
  <c r="D25" i="5" s="1"/>
  <c r="Q24" i="5"/>
  <c r="O24" i="5"/>
  <c r="O26" i="5" s="1"/>
  <c r="N24" i="5"/>
  <c r="P24" i="5" s="1"/>
  <c r="L24" i="5"/>
  <c r="K24" i="5"/>
  <c r="K26" i="5" s="1"/>
  <c r="I24" i="5"/>
  <c r="I26" i="5" s="1"/>
  <c r="H24" i="5"/>
  <c r="F24" i="5"/>
  <c r="G24" i="5" s="1"/>
  <c r="E24" i="5"/>
  <c r="C24" i="5"/>
  <c r="C26" i="5" s="1"/>
  <c r="B24" i="5"/>
  <c r="R21" i="5"/>
  <c r="N21" i="5"/>
  <c r="P21" i="5" s="1"/>
  <c r="K21" i="5"/>
  <c r="M21" i="5" s="1"/>
  <c r="H21" i="5"/>
  <c r="J21" i="5" s="1"/>
  <c r="E21" i="5"/>
  <c r="G21" i="5" s="1"/>
  <c r="B21" i="5"/>
  <c r="N20" i="5"/>
  <c r="P20" i="5" s="1"/>
  <c r="K20" i="5"/>
  <c r="M20" i="5" s="1"/>
  <c r="J20" i="5"/>
  <c r="I20" i="5"/>
  <c r="H20" i="5"/>
  <c r="G20" i="5"/>
  <c r="E20" i="5"/>
  <c r="C20" i="5"/>
  <c r="B20" i="5"/>
  <c r="O19" i="5"/>
  <c r="P19" i="5" s="1"/>
  <c r="N19" i="5"/>
  <c r="L19" i="5"/>
  <c r="M19" i="5" s="1"/>
  <c r="K19" i="5"/>
  <c r="I19" i="5"/>
  <c r="J19" i="5" s="1"/>
  <c r="H19" i="5"/>
  <c r="F19" i="5"/>
  <c r="G19" i="5" s="1"/>
  <c r="E19" i="5"/>
  <c r="Q19" i="5" s="1"/>
  <c r="C19" i="5"/>
  <c r="B19" i="5"/>
  <c r="O18" i="5"/>
  <c r="P18" i="5" s="1"/>
  <c r="N18" i="5"/>
  <c r="L18" i="5"/>
  <c r="M18" i="5" s="1"/>
  <c r="K18" i="5"/>
  <c r="I18" i="5"/>
  <c r="J18" i="5" s="1"/>
  <c r="H18" i="5"/>
  <c r="F18" i="5"/>
  <c r="G18" i="5" s="1"/>
  <c r="E18" i="5"/>
  <c r="Q18" i="5" s="1"/>
  <c r="C18" i="5"/>
  <c r="B18" i="5"/>
  <c r="R17" i="5"/>
  <c r="N17" i="5"/>
  <c r="P17" i="5" s="1"/>
  <c r="K17" i="5"/>
  <c r="M17" i="5" s="1"/>
  <c r="H17" i="5"/>
  <c r="J17" i="5" s="1"/>
  <c r="E17" i="5"/>
  <c r="G17" i="5" s="1"/>
  <c r="B17" i="5"/>
  <c r="R16" i="5"/>
  <c r="P16" i="5"/>
  <c r="N16" i="5"/>
  <c r="M16" i="5"/>
  <c r="K16" i="5"/>
  <c r="H16" i="5"/>
  <c r="J16" i="5" s="1"/>
  <c r="G16" i="5"/>
  <c r="E16" i="5"/>
  <c r="D16" i="5"/>
  <c r="B16" i="5"/>
  <c r="O15" i="5"/>
  <c r="N15" i="5"/>
  <c r="P15" i="5" s="1"/>
  <c r="L15" i="5"/>
  <c r="K15" i="5"/>
  <c r="M15" i="5" s="1"/>
  <c r="I15" i="5"/>
  <c r="H15" i="5"/>
  <c r="J15" i="5" s="1"/>
  <c r="G15" i="5"/>
  <c r="F15" i="5"/>
  <c r="E15" i="5"/>
  <c r="C15" i="5"/>
  <c r="R15" i="5" s="1"/>
  <c r="B15" i="5"/>
  <c r="R14" i="5"/>
  <c r="N14" i="5"/>
  <c r="P14" i="5" s="1"/>
  <c r="M14" i="5"/>
  <c r="K14" i="5"/>
  <c r="H14" i="5"/>
  <c r="J14" i="5" s="1"/>
  <c r="E14" i="5"/>
  <c r="G14" i="5" s="1"/>
  <c r="B14" i="5"/>
  <c r="Q14" i="5" s="1"/>
  <c r="S14" i="5" s="1"/>
  <c r="R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Q13" i="5" s="1"/>
  <c r="S13" i="5" s="1"/>
  <c r="O12" i="5"/>
  <c r="P12" i="5" s="1"/>
  <c r="N12" i="5"/>
  <c r="L12" i="5"/>
  <c r="M12" i="5" s="1"/>
  <c r="K12" i="5"/>
  <c r="I12" i="5"/>
  <c r="J12" i="5" s="1"/>
  <c r="H12" i="5"/>
  <c r="F12" i="5"/>
  <c r="G12" i="5" s="1"/>
  <c r="E12" i="5"/>
  <c r="C12" i="5"/>
  <c r="B12" i="5"/>
  <c r="Q12" i="5" s="1"/>
  <c r="O11" i="5"/>
  <c r="N11" i="5"/>
  <c r="L11" i="5"/>
  <c r="M11" i="5" s="1"/>
  <c r="K11" i="5"/>
  <c r="I11" i="5"/>
  <c r="J11" i="5" s="1"/>
  <c r="H11" i="5"/>
  <c r="H22" i="5" s="1"/>
  <c r="F11" i="5"/>
  <c r="G11" i="5" s="1"/>
  <c r="E11" i="5"/>
  <c r="E22" i="5" s="1"/>
  <c r="C11" i="5"/>
  <c r="B11" i="5"/>
  <c r="Q11" i="5" s="1"/>
  <c r="Q10" i="5"/>
  <c r="P10" i="5"/>
  <c r="M10" i="5"/>
  <c r="L10" i="5"/>
  <c r="L22" i="5" s="1"/>
  <c r="I10" i="5"/>
  <c r="J10" i="5" s="1"/>
  <c r="G10" i="5"/>
  <c r="D10" i="5"/>
  <c r="O9" i="5"/>
  <c r="N9" i="5"/>
  <c r="P9" i="5" s="1"/>
  <c r="M9" i="5"/>
  <c r="L9" i="5"/>
  <c r="L23" i="5" s="1"/>
  <c r="L30" i="5" s="1"/>
  <c r="K9" i="5"/>
  <c r="I9" i="5"/>
  <c r="H9" i="5"/>
  <c r="J9" i="5" s="1"/>
  <c r="G9" i="5"/>
  <c r="F9" i="5"/>
  <c r="R9" i="5" s="1"/>
  <c r="E9" i="5"/>
  <c r="E23" i="5" s="1"/>
  <c r="C9" i="5"/>
  <c r="B9" i="5"/>
  <c r="Q9" i="5" s="1"/>
  <c r="S9" i="5" s="1"/>
  <c r="S8" i="5"/>
  <c r="R8" i="5"/>
  <c r="Q8" i="5"/>
  <c r="P8" i="5"/>
  <c r="M8" i="5"/>
  <c r="J8" i="5"/>
  <c r="G8" i="5"/>
  <c r="D8" i="5"/>
  <c r="F151" i="4"/>
  <c r="D151" i="4"/>
  <c r="B151" i="4"/>
  <c r="C150" i="4"/>
  <c r="B150" i="4"/>
  <c r="G150" i="4" s="1"/>
  <c r="F149" i="4"/>
  <c r="E149" i="4"/>
  <c r="D149" i="4"/>
  <c r="C149" i="4"/>
  <c r="G149" i="4" s="1"/>
  <c r="B149" i="4"/>
  <c r="F148" i="4"/>
  <c r="E148" i="4"/>
  <c r="D148" i="4"/>
  <c r="C148" i="4"/>
  <c r="G148" i="4" s="1"/>
  <c r="B148" i="4"/>
  <c r="F147" i="4"/>
  <c r="E147" i="4"/>
  <c r="E151" i="4" s="1"/>
  <c r="D147" i="4"/>
  <c r="C147" i="4"/>
  <c r="G147" i="4" s="1"/>
  <c r="B147" i="4"/>
  <c r="G146" i="4"/>
  <c r="D144" i="4"/>
  <c r="F143" i="4"/>
  <c r="F144" i="4" s="1"/>
  <c r="F145" i="4" s="1"/>
  <c r="C143" i="4"/>
  <c r="B143" i="4"/>
  <c r="B144" i="4" s="1"/>
  <c r="C142" i="4"/>
  <c r="G142" i="4" s="1"/>
  <c r="B142" i="4"/>
  <c r="G141" i="4"/>
  <c r="F141" i="4"/>
  <c r="E141" i="4"/>
  <c r="E144" i="4" s="1"/>
  <c r="D141" i="4"/>
  <c r="C141" i="4"/>
  <c r="C144" i="4" s="1"/>
  <c r="C145" i="4" s="1"/>
  <c r="B141" i="4"/>
  <c r="G140" i="4"/>
  <c r="B140" i="4"/>
  <c r="E139" i="4"/>
  <c r="D139" i="4"/>
  <c r="C139" i="4"/>
  <c r="B139" i="4"/>
  <c r="G139" i="4" s="1"/>
  <c r="F138" i="4"/>
  <c r="E138" i="4"/>
  <c r="D138" i="4"/>
  <c r="C138" i="4"/>
  <c r="B138" i="4"/>
  <c r="G138" i="4" s="1"/>
  <c r="F137" i="4"/>
  <c r="E137" i="4"/>
  <c r="D137" i="4"/>
  <c r="C137" i="4"/>
  <c r="B137" i="4"/>
  <c r="G137" i="4" s="1"/>
  <c r="F136" i="4"/>
  <c r="E136" i="4"/>
  <c r="E145" i="4" s="1"/>
  <c r="D136" i="4"/>
  <c r="D145" i="4" s="1"/>
  <c r="C136" i="4"/>
  <c r="B136" i="4"/>
  <c r="G136" i="4" s="1"/>
  <c r="G135" i="4"/>
  <c r="F132" i="4"/>
  <c r="F133" i="4" s="1"/>
  <c r="E132" i="4"/>
  <c r="E133" i="4" s="1"/>
  <c r="D132" i="4"/>
  <c r="D133" i="4" s="1"/>
  <c r="C132" i="4"/>
  <c r="G132" i="4" s="1"/>
  <c r="B132" i="4"/>
  <c r="G131" i="4"/>
  <c r="C131" i="4"/>
  <c r="B131" i="4"/>
  <c r="B133" i="4" s="1"/>
  <c r="G130" i="4"/>
  <c r="G128" i="4"/>
  <c r="F128" i="4"/>
  <c r="E128" i="4"/>
  <c r="D128" i="4"/>
  <c r="C128" i="4"/>
  <c r="B128" i="4"/>
  <c r="G127" i="4"/>
  <c r="F127" i="4"/>
  <c r="E127" i="4"/>
  <c r="D127" i="4"/>
  <c r="C127" i="4"/>
  <c r="B127" i="4"/>
  <c r="G126" i="4"/>
  <c r="F126" i="4"/>
  <c r="F129" i="4" s="1"/>
  <c r="E126" i="4"/>
  <c r="E129" i="4" s="1"/>
  <c r="D126" i="4"/>
  <c r="D129" i="4" s="1"/>
  <c r="C126" i="4"/>
  <c r="C129" i="4" s="1"/>
  <c r="B126" i="4"/>
  <c r="B129" i="4" s="1"/>
  <c r="G125" i="4"/>
  <c r="F124" i="4"/>
  <c r="E124" i="4"/>
  <c r="D124" i="4"/>
  <c r="C124" i="4"/>
  <c r="B124" i="4"/>
  <c r="G124" i="4" s="1"/>
  <c r="F122" i="4"/>
  <c r="E122" i="4"/>
  <c r="D122" i="4"/>
  <c r="C122" i="4"/>
  <c r="B122" i="4"/>
  <c r="G122" i="4" s="1"/>
  <c r="F121" i="4"/>
  <c r="E121" i="4"/>
  <c r="D121" i="4"/>
  <c r="C121" i="4"/>
  <c r="B121" i="4"/>
  <c r="G121" i="4" s="1"/>
  <c r="F120" i="4"/>
  <c r="E120" i="4"/>
  <c r="D120" i="4"/>
  <c r="C120" i="4"/>
  <c r="B120" i="4"/>
  <c r="G120" i="4" s="1"/>
  <c r="F119" i="4"/>
  <c r="F123" i="4" s="1"/>
  <c r="E119" i="4"/>
  <c r="E123" i="4" s="1"/>
  <c r="D119" i="4"/>
  <c r="D123" i="4" s="1"/>
  <c r="C119" i="4"/>
  <c r="C123" i="4" s="1"/>
  <c r="B119" i="4"/>
  <c r="G119" i="4" s="1"/>
  <c r="G118" i="4"/>
  <c r="F117" i="4"/>
  <c r="E117" i="4"/>
  <c r="D117" i="4"/>
  <c r="B117" i="4"/>
  <c r="G117" i="4" s="1"/>
  <c r="F116" i="4"/>
  <c r="E116" i="4"/>
  <c r="D116" i="4"/>
  <c r="D134" i="4" s="1"/>
  <c r="C116" i="4"/>
  <c r="B116" i="4"/>
  <c r="G115" i="4"/>
  <c r="G114" i="4"/>
  <c r="F114" i="4"/>
  <c r="E114" i="4"/>
  <c r="B114" i="4"/>
  <c r="C112" i="4"/>
  <c r="G111" i="4"/>
  <c r="F111" i="4"/>
  <c r="E111" i="4"/>
  <c r="E112" i="4" s="1"/>
  <c r="C111" i="4"/>
  <c r="B111" i="4"/>
  <c r="F110" i="4"/>
  <c r="F112" i="4" s="1"/>
  <c r="E110" i="4"/>
  <c r="D110" i="4"/>
  <c r="C110" i="4"/>
  <c r="B110" i="4"/>
  <c r="G110" i="4" s="1"/>
  <c r="D109" i="4"/>
  <c r="D112" i="4" s="1"/>
  <c r="C109" i="4"/>
  <c r="B109" i="4"/>
  <c r="B112" i="4" s="1"/>
  <c r="G108" i="4"/>
  <c r="F106" i="4"/>
  <c r="E106" i="4"/>
  <c r="D106" i="4"/>
  <c r="C106" i="4"/>
  <c r="G106" i="4" s="1"/>
  <c r="B106" i="4"/>
  <c r="F105" i="4"/>
  <c r="F107" i="4" s="1"/>
  <c r="E105" i="4"/>
  <c r="E107" i="4" s="1"/>
  <c r="D105" i="4"/>
  <c r="D107" i="4" s="1"/>
  <c r="C105" i="4"/>
  <c r="C107" i="4" s="1"/>
  <c r="B105" i="4"/>
  <c r="B107" i="4" s="1"/>
  <c r="G104" i="4"/>
  <c r="F102" i="4"/>
  <c r="E102" i="4"/>
  <c r="D102" i="4"/>
  <c r="G102" i="4" s="1"/>
  <c r="E101" i="4"/>
  <c r="G101" i="4" s="1"/>
  <c r="E100" i="4"/>
  <c r="G100" i="4" s="1"/>
  <c r="B99" i="4"/>
  <c r="G99" i="4" s="1"/>
  <c r="B98" i="4"/>
  <c r="G98" i="4" s="1"/>
  <c r="F97" i="4"/>
  <c r="F103" i="4" s="1"/>
  <c r="E97" i="4"/>
  <c r="D97" i="4"/>
  <c r="D103" i="4" s="1"/>
  <c r="D113" i="4" s="1"/>
  <c r="C97" i="4"/>
  <c r="B97" i="4"/>
  <c r="B103" i="4" s="1"/>
  <c r="E96" i="4"/>
  <c r="C96" i="4"/>
  <c r="G96" i="4" s="1"/>
  <c r="G95" i="4"/>
  <c r="F95" i="4"/>
  <c r="D95" i="4"/>
  <c r="B95" i="4"/>
  <c r="G94" i="4"/>
  <c r="F94" i="4"/>
  <c r="E94" i="4"/>
  <c r="E103" i="4" s="1"/>
  <c r="E113" i="4" s="1"/>
  <c r="D94" i="4"/>
  <c r="C94" i="4"/>
  <c r="C103" i="4" s="1"/>
  <c r="C113" i="4" s="1"/>
  <c r="B94" i="4"/>
  <c r="G93" i="4"/>
  <c r="G92" i="4"/>
  <c r="F91" i="4"/>
  <c r="D91" i="4"/>
  <c r="C91" i="4"/>
  <c r="G90" i="4"/>
  <c r="B90" i="4"/>
  <c r="C89" i="4"/>
  <c r="B89" i="4"/>
  <c r="G89" i="4" s="1"/>
  <c r="E88" i="4"/>
  <c r="E91" i="4" s="1"/>
  <c r="C88" i="4"/>
  <c r="B88" i="4"/>
  <c r="B91" i="4" s="1"/>
  <c r="G87" i="4"/>
  <c r="D85" i="4"/>
  <c r="C85" i="4"/>
  <c r="G84" i="4"/>
  <c r="F84" i="4"/>
  <c r="F85" i="4" s="1"/>
  <c r="E84" i="4"/>
  <c r="E85" i="4" s="1"/>
  <c r="C84" i="4"/>
  <c r="B84" i="4"/>
  <c r="B85" i="4" s="1"/>
  <c r="G83" i="4"/>
  <c r="G81" i="4"/>
  <c r="F81" i="4"/>
  <c r="E81" i="4"/>
  <c r="D81" i="4"/>
  <c r="C81" i="4"/>
  <c r="B81" i="4"/>
  <c r="G80" i="4"/>
  <c r="F80" i="4"/>
  <c r="E80" i="4"/>
  <c r="D80" i="4"/>
  <c r="C80" i="4"/>
  <c r="B80" i="4"/>
  <c r="G79" i="4"/>
  <c r="F79" i="4"/>
  <c r="E79" i="4"/>
  <c r="D79" i="4"/>
  <c r="C79" i="4"/>
  <c r="B79" i="4"/>
  <c r="G78" i="4"/>
  <c r="F78" i="4"/>
  <c r="E78" i="4"/>
  <c r="E82" i="4" s="1"/>
  <c r="D78" i="4"/>
  <c r="C78" i="4"/>
  <c r="C82" i="4" s="1"/>
  <c r="B78" i="4"/>
  <c r="G77" i="4"/>
  <c r="E77" i="4"/>
  <c r="D77" i="4"/>
  <c r="C77" i="4"/>
  <c r="B77" i="4"/>
  <c r="F76" i="4"/>
  <c r="F82" i="4" s="1"/>
  <c r="E76" i="4"/>
  <c r="D76" i="4"/>
  <c r="D82" i="4" s="1"/>
  <c r="C76" i="4"/>
  <c r="B76" i="4"/>
  <c r="B82" i="4" s="1"/>
  <c r="G75" i="4"/>
  <c r="G73" i="4"/>
  <c r="F73" i="4"/>
  <c r="F74" i="4" s="1"/>
  <c r="F86" i="4" s="1"/>
  <c r="E73" i="4"/>
  <c r="E74" i="4" s="1"/>
  <c r="E86" i="4" s="1"/>
  <c r="D73" i="4"/>
  <c r="D74" i="4" s="1"/>
  <c r="C73" i="4"/>
  <c r="C74" i="4" s="1"/>
  <c r="B73" i="4"/>
  <c r="B74" i="4" s="1"/>
  <c r="G72" i="4"/>
  <c r="G71" i="4"/>
  <c r="C70" i="4"/>
  <c r="G69" i="4"/>
  <c r="F69" i="4"/>
  <c r="F70" i="4" s="1"/>
  <c r="F68" i="4"/>
  <c r="E68" i="4"/>
  <c r="D68" i="4"/>
  <c r="C68" i="4"/>
  <c r="G68" i="4" s="1"/>
  <c r="B68" i="4"/>
  <c r="B70" i="4" s="1"/>
  <c r="G67" i="4"/>
  <c r="E67" i="4"/>
  <c r="G66" i="4"/>
  <c r="F66" i="4"/>
  <c r="E66" i="4"/>
  <c r="E70" i="4" s="1"/>
  <c r="D66" i="4"/>
  <c r="D70" i="4" s="1"/>
  <c r="C66" i="4"/>
  <c r="B66" i="4"/>
  <c r="G65" i="4"/>
  <c r="F63" i="4"/>
  <c r="E63" i="4"/>
  <c r="B63" i="4"/>
  <c r="G63" i="4" s="1"/>
  <c r="F61" i="4"/>
  <c r="F62" i="4" s="1"/>
  <c r="E61" i="4"/>
  <c r="E62" i="4" s="1"/>
  <c r="D61" i="4"/>
  <c r="D62" i="4" s="1"/>
  <c r="C61" i="4"/>
  <c r="C62" i="4" s="1"/>
  <c r="B61" i="4"/>
  <c r="B62" i="4" s="1"/>
  <c r="G62" i="4" s="1"/>
  <c r="G60" i="4"/>
  <c r="G58" i="4"/>
  <c r="F58" i="4"/>
  <c r="F59" i="4" s="1"/>
  <c r="E58" i="4"/>
  <c r="E59" i="4" s="1"/>
  <c r="D58" i="4"/>
  <c r="D59" i="4" s="1"/>
  <c r="C58" i="4"/>
  <c r="C59" i="4" s="1"/>
  <c r="B58" i="4"/>
  <c r="B59" i="4" s="1"/>
  <c r="G57" i="4"/>
  <c r="F55" i="4"/>
  <c r="E55" i="4"/>
  <c r="D55" i="4"/>
  <c r="C55" i="4"/>
  <c r="B55" i="4"/>
  <c r="G55" i="4" s="1"/>
  <c r="F54" i="4"/>
  <c r="F56" i="4" s="1"/>
  <c r="E54" i="4"/>
  <c r="E56" i="4" s="1"/>
  <c r="D54" i="4"/>
  <c r="D56" i="4" s="1"/>
  <c r="C54" i="4"/>
  <c r="C56" i="4" s="1"/>
  <c r="B54" i="4"/>
  <c r="G54" i="4" s="1"/>
  <c r="G53" i="4"/>
  <c r="G52" i="4"/>
  <c r="D48" i="4"/>
  <c r="C48" i="4"/>
  <c r="D47" i="4"/>
  <c r="C47" i="4"/>
  <c r="B47" i="4"/>
  <c r="G47" i="4" s="1"/>
  <c r="F46" i="4"/>
  <c r="E46" i="4"/>
  <c r="D46" i="4"/>
  <c r="C46" i="4"/>
  <c r="B46" i="4"/>
  <c r="G46" i="4" s="1"/>
  <c r="F45" i="4"/>
  <c r="E45" i="4"/>
  <c r="D45" i="4"/>
  <c r="C45" i="4"/>
  <c r="B45" i="4"/>
  <c r="G45" i="4" s="1"/>
  <c r="F44" i="4"/>
  <c r="F48" i="4" s="1"/>
  <c r="E44" i="4"/>
  <c r="E48" i="4" s="1"/>
  <c r="D44" i="4"/>
  <c r="C44" i="4"/>
  <c r="B44" i="4"/>
  <c r="G44" i="4" s="1"/>
  <c r="G43" i="4"/>
  <c r="F41" i="4"/>
  <c r="E41" i="4"/>
  <c r="E42" i="4" s="1"/>
  <c r="D41" i="4"/>
  <c r="C41" i="4"/>
  <c r="G41" i="4" s="1"/>
  <c r="F40" i="4"/>
  <c r="F42" i="4" s="1"/>
  <c r="E40" i="4"/>
  <c r="D40" i="4"/>
  <c r="D42" i="4" s="1"/>
  <c r="C40" i="4"/>
  <c r="B40" i="4"/>
  <c r="B42" i="4" s="1"/>
  <c r="G39" i="4"/>
  <c r="F37" i="4"/>
  <c r="E37" i="4"/>
  <c r="D37" i="4"/>
  <c r="C37" i="4"/>
  <c r="G37" i="4" s="1"/>
  <c r="B37" i="4"/>
  <c r="F36" i="4"/>
  <c r="E36" i="4"/>
  <c r="D36" i="4"/>
  <c r="C36" i="4"/>
  <c r="G36" i="4" s="1"/>
  <c r="B36" i="4"/>
  <c r="F35" i="4"/>
  <c r="E35" i="4"/>
  <c r="E38" i="4" s="1"/>
  <c r="C35" i="4"/>
  <c r="B35" i="4"/>
  <c r="G35" i="4" s="1"/>
  <c r="F34" i="4"/>
  <c r="E34" i="4"/>
  <c r="D34" i="4"/>
  <c r="D38" i="4" s="1"/>
  <c r="C34" i="4"/>
  <c r="B34" i="4"/>
  <c r="B38" i="4" s="1"/>
  <c r="F33" i="4"/>
  <c r="F38" i="4" s="1"/>
  <c r="E33" i="4"/>
  <c r="C33" i="4"/>
  <c r="G33" i="4" s="1"/>
  <c r="B33" i="4"/>
  <c r="G32" i="4"/>
  <c r="B31" i="4"/>
  <c r="F30" i="4"/>
  <c r="F31" i="4" s="1"/>
  <c r="E30" i="4"/>
  <c r="D30" i="4"/>
  <c r="C30" i="4"/>
  <c r="B30" i="4"/>
  <c r="G30" i="4" s="1"/>
  <c r="E29" i="4"/>
  <c r="G29" i="4" s="1"/>
  <c r="F28" i="4"/>
  <c r="E28" i="4"/>
  <c r="D28" i="4"/>
  <c r="D31" i="4" s="1"/>
  <c r="C28" i="4"/>
  <c r="C31" i="4" s="1"/>
  <c r="B28" i="4"/>
  <c r="G28" i="4" s="1"/>
  <c r="G27" i="4"/>
  <c r="E25" i="4"/>
  <c r="B25" i="4"/>
  <c r="G25" i="4" s="1"/>
  <c r="F24" i="4"/>
  <c r="E24" i="4"/>
  <c r="D24" i="4"/>
  <c r="C24" i="4"/>
  <c r="B24" i="4"/>
  <c r="G24" i="4" s="1"/>
  <c r="F23" i="4"/>
  <c r="E23" i="4"/>
  <c r="D23" i="4"/>
  <c r="C23" i="4"/>
  <c r="B23" i="4"/>
  <c r="G23" i="4" s="1"/>
  <c r="F20" i="4"/>
  <c r="E20" i="4"/>
  <c r="D20" i="4"/>
  <c r="C20" i="4"/>
  <c r="B20" i="4"/>
  <c r="G20" i="4" s="1"/>
  <c r="F19" i="4"/>
  <c r="E19" i="4"/>
  <c r="D19" i="4"/>
  <c r="C19" i="4"/>
  <c r="B19" i="4"/>
  <c r="G19" i="4" s="1"/>
  <c r="F18" i="4"/>
  <c r="E18" i="4"/>
  <c r="D18" i="4"/>
  <c r="C18" i="4"/>
  <c r="B18" i="4"/>
  <c r="G18" i="4" s="1"/>
  <c r="F17" i="4"/>
  <c r="E17" i="4"/>
  <c r="D17" i="4"/>
  <c r="C17" i="4"/>
  <c r="B17" i="4"/>
  <c r="G17" i="4" s="1"/>
  <c r="F16" i="4"/>
  <c r="E16" i="4"/>
  <c r="D16" i="4"/>
  <c r="C16" i="4"/>
  <c r="B16" i="4"/>
  <c r="G16" i="4" s="1"/>
  <c r="F15" i="4"/>
  <c r="E15" i="4"/>
  <c r="D15" i="4"/>
  <c r="C15" i="4"/>
  <c r="B15" i="4"/>
  <c r="G15" i="4" s="1"/>
  <c r="F14" i="4"/>
  <c r="E14" i="4"/>
  <c r="D14" i="4"/>
  <c r="C14" i="4"/>
  <c r="B14" i="4"/>
  <c r="G14" i="4" s="1"/>
  <c r="F13" i="4"/>
  <c r="E13" i="4"/>
  <c r="D13" i="4"/>
  <c r="C13" i="4"/>
  <c r="B13" i="4"/>
  <c r="G13" i="4" s="1"/>
  <c r="F12" i="4"/>
  <c r="E12" i="4"/>
  <c r="D12" i="4"/>
  <c r="C12" i="4"/>
  <c r="B12" i="4"/>
  <c r="G12" i="4" s="1"/>
  <c r="F11" i="4"/>
  <c r="E11" i="4"/>
  <c r="D11" i="4"/>
  <c r="C11" i="4"/>
  <c r="B11" i="4"/>
  <c r="G11" i="4" s="1"/>
  <c r="F10" i="4"/>
  <c r="F21" i="4" s="1"/>
  <c r="F22" i="4" s="1"/>
  <c r="F26" i="4" s="1"/>
  <c r="E10" i="4"/>
  <c r="E21" i="4" s="1"/>
  <c r="D10" i="4"/>
  <c r="D21" i="4" s="1"/>
  <c r="D22" i="4" s="1"/>
  <c r="D26" i="4" s="1"/>
  <c r="C10" i="4"/>
  <c r="C21" i="4" s="1"/>
  <c r="B10" i="4"/>
  <c r="G10" i="4" s="1"/>
  <c r="G9" i="4"/>
  <c r="F8" i="4"/>
  <c r="E8" i="4"/>
  <c r="E22" i="4" s="1"/>
  <c r="E26" i="4" s="1"/>
  <c r="D8" i="4"/>
  <c r="C8" i="4"/>
  <c r="G8" i="4" s="1"/>
  <c r="B8" i="4"/>
  <c r="G7" i="4"/>
  <c r="C88" i="6" l="1"/>
  <c r="C90" i="6" s="1"/>
  <c r="C91" i="6" s="1"/>
  <c r="C105" i="6" s="1"/>
  <c r="C114" i="6" s="1"/>
  <c r="B57" i="6"/>
  <c r="D57" i="6" s="1"/>
  <c r="D56" i="6"/>
  <c r="D61" i="6"/>
  <c r="D68" i="6"/>
  <c r="B32" i="6"/>
  <c r="D32" i="6" s="1"/>
  <c r="D31" i="6"/>
  <c r="D36" i="6"/>
  <c r="B39" i="6"/>
  <c r="D39" i="6" s="1"/>
  <c r="D80" i="6"/>
  <c r="B26" i="6"/>
  <c r="D18" i="6"/>
  <c r="C26" i="6"/>
  <c r="C40" i="6" s="1"/>
  <c r="C62" i="6" s="1"/>
  <c r="B88" i="6"/>
  <c r="D113" i="6"/>
  <c r="B99" i="6"/>
  <c r="D20" i="6"/>
  <c r="D22" i="6"/>
  <c r="D29" i="6"/>
  <c r="D71" i="6"/>
  <c r="D73" i="6"/>
  <c r="D35" i="6"/>
  <c r="R11" i="5"/>
  <c r="S11" i="5" s="1"/>
  <c r="C22" i="5"/>
  <c r="D11" i="5"/>
  <c r="R20" i="5"/>
  <c r="D20" i="5"/>
  <c r="S24" i="5"/>
  <c r="R42" i="5"/>
  <c r="J48" i="5"/>
  <c r="G22" i="5"/>
  <c r="N22" i="5"/>
  <c r="P71" i="5"/>
  <c r="D42" i="5"/>
  <c r="O22" i="5"/>
  <c r="O23" i="5" s="1"/>
  <c r="O30" i="5" s="1"/>
  <c r="O58" i="5" s="1"/>
  <c r="O59" i="5" s="1"/>
  <c r="P11" i="5"/>
  <c r="R19" i="5"/>
  <c r="D19" i="5"/>
  <c r="D24" i="5"/>
  <c r="B26" i="5"/>
  <c r="M26" i="5"/>
  <c r="J22" i="5"/>
  <c r="D17" i="5"/>
  <c r="Q17" i="5"/>
  <c r="S17" i="5" s="1"/>
  <c r="S19" i="5"/>
  <c r="Q21" i="5"/>
  <c r="S21" i="5" s="1"/>
  <c r="B22" i="5"/>
  <c r="R26" i="5"/>
  <c r="M35" i="5"/>
  <c r="G55" i="5"/>
  <c r="L73" i="5"/>
  <c r="M65" i="5"/>
  <c r="E30" i="5"/>
  <c r="D12" i="5"/>
  <c r="R12" i="5"/>
  <c r="S12" i="5" s="1"/>
  <c r="R18" i="5"/>
  <c r="S18" i="5" s="1"/>
  <c r="D18" i="5"/>
  <c r="I22" i="5"/>
  <c r="I23" i="5" s="1"/>
  <c r="I30" i="5" s="1"/>
  <c r="I58" i="5" s="1"/>
  <c r="I59" i="5" s="1"/>
  <c r="I35" i="5"/>
  <c r="J35" i="5" s="1"/>
  <c r="N48" i="5"/>
  <c r="P92" i="5"/>
  <c r="M148" i="5"/>
  <c r="K22" i="5"/>
  <c r="M22" i="5" s="1"/>
  <c r="D32" i="5"/>
  <c r="P32" i="5"/>
  <c r="C35" i="5"/>
  <c r="J37" i="5"/>
  <c r="Q37" i="5"/>
  <c r="S37" i="5" s="1"/>
  <c r="D44" i="5"/>
  <c r="J44" i="5"/>
  <c r="O48" i="5"/>
  <c r="R48" i="5" s="1"/>
  <c r="P55" i="5"/>
  <c r="G63" i="5"/>
  <c r="C65" i="5"/>
  <c r="D65" i="5" s="1"/>
  <c r="B80" i="5"/>
  <c r="Q75" i="5"/>
  <c r="M84" i="5"/>
  <c r="Q101" i="5"/>
  <c r="S113" i="5"/>
  <c r="R123" i="5"/>
  <c r="G123" i="5"/>
  <c r="F126" i="5"/>
  <c r="G126" i="5" s="1"/>
  <c r="H137" i="5"/>
  <c r="J137" i="5" s="1"/>
  <c r="J133" i="5"/>
  <c r="G156" i="5"/>
  <c r="E159" i="5"/>
  <c r="P156" i="5"/>
  <c r="N159" i="5"/>
  <c r="P159" i="5" s="1"/>
  <c r="D15" i="5"/>
  <c r="Q15" i="5"/>
  <c r="S15" i="5" s="1"/>
  <c r="D21" i="5"/>
  <c r="H23" i="5"/>
  <c r="R25" i="5"/>
  <c r="S25" i="5" s="1"/>
  <c r="N26" i="5"/>
  <c r="P26" i="5" s="1"/>
  <c r="D37" i="5"/>
  <c r="M37" i="5"/>
  <c r="R37" i="5"/>
  <c r="D40" i="5"/>
  <c r="M40" i="5"/>
  <c r="K42" i="5"/>
  <c r="M42" i="5" s="1"/>
  <c r="R44" i="5"/>
  <c r="S44" i="5" s="1"/>
  <c r="J46" i="5"/>
  <c r="B48" i="5"/>
  <c r="F55" i="5"/>
  <c r="M51" i="5"/>
  <c r="R54" i="5"/>
  <c r="S54" i="5" s="1"/>
  <c r="D54" i="5"/>
  <c r="C55" i="5"/>
  <c r="R55" i="5" s="1"/>
  <c r="O55" i="5"/>
  <c r="G62" i="5"/>
  <c r="H73" i="5"/>
  <c r="J65" i="5"/>
  <c r="F65" i="5"/>
  <c r="B71" i="5"/>
  <c r="O80" i="5"/>
  <c r="Q76" i="5"/>
  <c r="Q77" i="5"/>
  <c r="S77" i="5" s="1"/>
  <c r="C80" i="5"/>
  <c r="S83" i="5"/>
  <c r="P106" i="5"/>
  <c r="O116" i="5"/>
  <c r="R113" i="5"/>
  <c r="D113" i="5"/>
  <c r="R115" i="5"/>
  <c r="D115" i="5"/>
  <c r="F149" i="5"/>
  <c r="R129" i="5"/>
  <c r="S129" i="5" s="1"/>
  <c r="B137" i="5"/>
  <c r="Q133" i="5"/>
  <c r="S133" i="5" s="1"/>
  <c r="D133" i="5"/>
  <c r="R136" i="5"/>
  <c r="G143" i="5"/>
  <c r="R151" i="5"/>
  <c r="Q152" i="5"/>
  <c r="S152" i="5" s="1"/>
  <c r="L159" i="5"/>
  <c r="M159" i="5" s="1"/>
  <c r="M155" i="5"/>
  <c r="N80" i="5"/>
  <c r="P80" i="5" s="1"/>
  <c r="R24" i="5"/>
  <c r="Q27" i="5"/>
  <c r="S27" i="5" s="1"/>
  <c r="D27" i="5"/>
  <c r="D55" i="5"/>
  <c r="N73" i="5"/>
  <c r="P65" i="5"/>
  <c r="D9" i="5"/>
  <c r="R10" i="5"/>
  <c r="S10" i="5" s="1"/>
  <c r="Q16" i="5"/>
  <c r="S16" i="5" s="1"/>
  <c r="F22" i="5"/>
  <c r="F23" i="5" s="1"/>
  <c r="F30" i="5" s="1"/>
  <c r="F58" i="5" s="1"/>
  <c r="F59" i="5" s="1"/>
  <c r="B23" i="5"/>
  <c r="M24" i="5"/>
  <c r="R29" i="5"/>
  <c r="S29" i="5" s="1"/>
  <c r="L35" i="5"/>
  <c r="L58" i="5" s="1"/>
  <c r="L59" i="5" s="1"/>
  <c r="E42" i="5"/>
  <c r="G42" i="5" s="1"/>
  <c r="Q46" i="5"/>
  <c r="S46" i="5" s="1"/>
  <c r="R50" i="5"/>
  <c r="S50" i="5" s="1"/>
  <c r="G51" i="5"/>
  <c r="S57" i="5"/>
  <c r="B73" i="5"/>
  <c r="Q65" i="5"/>
  <c r="Q67" i="5"/>
  <c r="K68" i="5"/>
  <c r="M68" i="5" s="1"/>
  <c r="R71" i="5"/>
  <c r="D75" i="5"/>
  <c r="J75" i="5"/>
  <c r="R76" i="5"/>
  <c r="K92" i="5"/>
  <c r="K96" i="5" s="1"/>
  <c r="Q87" i="5"/>
  <c r="D87" i="5"/>
  <c r="L101" i="5"/>
  <c r="R101" i="5" s="1"/>
  <c r="S120" i="5"/>
  <c r="J130" i="5"/>
  <c r="Q130" i="5"/>
  <c r="S130" i="5" s="1"/>
  <c r="G136" i="5"/>
  <c r="Q136" i="5"/>
  <c r="J151" i="5"/>
  <c r="Q151" i="5"/>
  <c r="S151" i="5" s="1"/>
  <c r="D14" i="5"/>
  <c r="G32" i="5"/>
  <c r="Q39" i="5"/>
  <c r="S39" i="5" s="1"/>
  <c r="Q41" i="5"/>
  <c r="S41" i="5" s="1"/>
  <c r="G44" i="5"/>
  <c r="M44" i="5"/>
  <c r="K48" i="5"/>
  <c r="M48" i="5" s="1"/>
  <c r="Q53" i="5"/>
  <c r="S53" i="5" s="1"/>
  <c r="H55" i="5"/>
  <c r="J55" i="5" s="1"/>
  <c r="J57" i="5"/>
  <c r="K73" i="5"/>
  <c r="I65" i="5"/>
  <c r="I73" i="5" s="1"/>
  <c r="R70" i="5"/>
  <c r="S70" i="5" s="1"/>
  <c r="G71" i="5"/>
  <c r="J84" i="5"/>
  <c r="H96" i="5"/>
  <c r="R85" i="5"/>
  <c r="S85" i="5" s="1"/>
  <c r="O92" i="5"/>
  <c r="P85" i="5"/>
  <c r="S88" i="5"/>
  <c r="Q91" i="5"/>
  <c r="S91" i="5" s="1"/>
  <c r="D91" i="5"/>
  <c r="S94" i="5"/>
  <c r="N96" i="5"/>
  <c r="G98" i="5"/>
  <c r="E101" i="5"/>
  <c r="G101" i="5" s="1"/>
  <c r="Q98" i="5"/>
  <c r="S98" i="5" s="1"/>
  <c r="F116" i="5"/>
  <c r="G116" i="5" s="1"/>
  <c r="R104" i="5"/>
  <c r="M111" i="5"/>
  <c r="Q111" i="5"/>
  <c r="S111" i="5" s="1"/>
  <c r="D120" i="5"/>
  <c r="S158" i="5"/>
  <c r="O126" i="5"/>
  <c r="P126" i="5" s="1"/>
  <c r="N137" i="5"/>
  <c r="P133" i="5"/>
  <c r="Q20" i="5"/>
  <c r="S20" i="5" s="1"/>
  <c r="J24" i="5"/>
  <c r="D28" i="5"/>
  <c r="B35" i="5"/>
  <c r="Q32" i="5"/>
  <c r="S32" i="5" s="1"/>
  <c r="M39" i="5"/>
  <c r="M41" i="5"/>
  <c r="H42" i="5"/>
  <c r="J42" i="5" s="1"/>
  <c r="G46" i="5"/>
  <c r="P47" i="5"/>
  <c r="J50" i="5"/>
  <c r="D51" i="5"/>
  <c r="Q51" i="5"/>
  <c r="S51" i="5" s="1"/>
  <c r="G54" i="5"/>
  <c r="E73" i="5"/>
  <c r="R64" i="5"/>
  <c r="S64" i="5" s="1"/>
  <c r="P70" i="5"/>
  <c r="H71" i="5"/>
  <c r="J71" i="5" s="1"/>
  <c r="S72" i="5"/>
  <c r="R84" i="5"/>
  <c r="G89" i="5"/>
  <c r="Q89" i="5"/>
  <c r="S89" i="5" s="1"/>
  <c r="M95" i="5"/>
  <c r="G104" i="5"/>
  <c r="P104" i="5"/>
  <c r="N116" i="5"/>
  <c r="Q110" i="5"/>
  <c r="S110" i="5" s="1"/>
  <c r="J116" i="5"/>
  <c r="F121" i="5"/>
  <c r="R118" i="5"/>
  <c r="P134" i="5"/>
  <c r="O137" i="5"/>
  <c r="R137" i="5" s="1"/>
  <c r="R67" i="5"/>
  <c r="D84" i="5"/>
  <c r="L92" i="5"/>
  <c r="L96" i="5" s="1"/>
  <c r="R87" i="5"/>
  <c r="P87" i="5"/>
  <c r="R90" i="5"/>
  <c r="S90" i="5" s="1"/>
  <c r="R91" i="5"/>
  <c r="B92" i="5"/>
  <c r="Q105" i="5"/>
  <c r="S105" i="5" s="1"/>
  <c r="J107" i="5"/>
  <c r="Q115" i="5"/>
  <c r="S115" i="5" s="1"/>
  <c r="E121" i="5"/>
  <c r="R128" i="5"/>
  <c r="D130" i="5"/>
  <c r="B149" i="5"/>
  <c r="I149" i="5"/>
  <c r="L143" i="5"/>
  <c r="R142" i="5"/>
  <c r="Q95" i="5"/>
  <c r="D95" i="5"/>
  <c r="P95" i="5"/>
  <c r="S97" i="5"/>
  <c r="Q104" i="5"/>
  <c r="S104" i="5" s="1"/>
  <c r="D104" i="5"/>
  <c r="Q107" i="5"/>
  <c r="S107" i="5" s="1"/>
  <c r="D107" i="5"/>
  <c r="Q118" i="5"/>
  <c r="D118" i="5"/>
  <c r="B121" i="5"/>
  <c r="J123" i="5"/>
  <c r="H126" i="5"/>
  <c r="J126" i="5" s="1"/>
  <c r="Q128" i="5"/>
  <c r="S128" i="5" s="1"/>
  <c r="P128" i="5"/>
  <c r="P140" i="5"/>
  <c r="N143" i="5"/>
  <c r="P143" i="5" s="1"/>
  <c r="S165" i="5"/>
  <c r="E80" i="5"/>
  <c r="G80" i="5" s="1"/>
  <c r="K80" i="5"/>
  <c r="M83" i="5"/>
  <c r="S86" i="5"/>
  <c r="P90" i="5"/>
  <c r="K116" i="5"/>
  <c r="R106" i="5"/>
  <c r="S106" i="5" s="1"/>
  <c r="R107" i="5"/>
  <c r="M112" i="5"/>
  <c r="R114" i="5"/>
  <c r="S114" i="5" s="1"/>
  <c r="B116" i="5"/>
  <c r="K121" i="5"/>
  <c r="M121" i="5" s="1"/>
  <c r="S119" i="5"/>
  <c r="J121" i="5"/>
  <c r="B126" i="5"/>
  <c r="D123" i="5"/>
  <c r="Q123" i="5"/>
  <c r="S123" i="5" s="1"/>
  <c r="P124" i="5"/>
  <c r="Q125" i="5"/>
  <c r="S125" i="5" s="1"/>
  <c r="Q131" i="5"/>
  <c r="S131" i="5" s="1"/>
  <c r="D135" i="5"/>
  <c r="R135" i="5"/>
  <c r="S135" i="5" s="1"/>
  <c r="Q148" i="5"/>
  <c r="D148" i="5"/>
  <c r="Q157" i="5"/>
  <c r="Q163" i="5"/>
  <c r="D165" i="5"/>
  <c r="Q63" i="5"/>
  <c r="S63" i="5" s="1"/>
  <c r="F80" i="5"/>
  <c r="L80" i="5"/>
  <c r="R75" i="5"/>
  <c r="R79" i="5"/>
  <c r="S79" i="5" s="1"/>
  <c r="G83" i="5"/>
  <c r="E84" i="5"/>
  <c r="O96" i="5"/>
  <c r="P91" i="5"/>
  <c r="M98" i="5"/>
  <c r="Q99" i="5"/>
  <c r="E127" i="5"/>
  <c r="L116" i="5"/>
  <c r="L127" i="5" s="1"/>
  <c r="C116" i="5"/>
  <c r="C121" i="5"/>
  <c r="R121" i="5" s="1"/>
  <c r="R119" i="5"/>
  <c r="D119" i="5"/>
  <c r="Q124" i="5"/>
  <c r="S124" i="5" s="1"/>
  <c r="R126" i="5"/>
  <c r="P130" i="5"/>
  <c r="N149" i="5"/>
  <c r="R134" i="5"/>
  <c r="S134" i="5" s="1"/>
  <c r="J140" i="5"/>
  <c r="H143" i="5"/>
  <c r="J143" i="5" s="1"/>
  <c r="Q140" i="5"/>
  <c r="S140" i="5" s="1"/>
  <c r="Q153" i="5"/>
  <c r="S153" i="5" s="1"/>
  <c r="J162" i="5"/>
  <c r="H167" i="5"/>
  <c r="Q162" i="5"/>
  <c r="D164" i="5"/>
  <c r="Q164" i="5"/>
  <c r="S164" i="5" s="1"/>
  <c r="I95" i="5"/>
  <c r="R95" i="5" s="1"/>
  <c r="C149" i="5"/>
  <c r="G135" i="5"/>
  <c r="G138" i="5"/>
  <c r="I160" i="5"/>
  <c r="S155" i="5"/>
  <c r="J156" i="5"/>
  <c r="H159" i="5"/>
  <c r="Q156" i="5"/>
  <c r="S156" i="5" s="1"/>
  <c r="R158" i="5"/>
  <c r="I167" i="5"/>
  <c r="D163" i="5"/>
  <c r="R164" i="5"/>
  <c r="R99" i="5"/>
  <c r="Q109" i="5"/>
  <c r="S109" i="5" s="1"/>
  <c r="E149" i="5"/>
  <c r="L149" i="5"/>
  <c r="Q142" i="5"/>
  <c r="S142" i="5" s="1"/>
  <c r="K143" i="5"/>
  <c r="M143" i="5" s="1"/>
  <c r="I148" i="5"/>
  <c r="J148" i="5" s="1"/>
  <c r="J145" i="5"/>
  <c r="D151" i="5"/>
  <c r="B160" i="5"/>
  <c r="F159" i="5"/>
  <c r="F160" i="5" s="1"/>
  <c r="R155" i="5"/>
  <c r="I159" i="5"/>
  <c r="K160" i="5"/>
  <c r="D162" i="5"/>
  <c r="B167" i="5"/>
  <c r="R163" i="5"/>
  <c r="R166" i="5"/>
  <c r="P98" i="5"/>
  <c r="D106" i="5"/>
  <c r="M124" i="5"/>
  <c r="D128" i="5"/>
  <c r="M130" i="5"/>
  <c r="D136" i="5"/>
  <c r="M136" i="5"/>
  <c r="C143" i="5"/>
  <c r="R140" i="5"/>
  <c r="R148" i="5"/>
  <c r="C160" i="5"/>
  <c r="G155" i="5"/>
  <c r="M156" i="5"/>
  <c r="C167" i="5"/>
  <c r="R162" i="5"/>
  <c r="P163" i="5"/>
  <c r="Q166" i="5"/>
  <c r="S166" i="5" s="1"/>
  <c r="D143" i="5"/>
  <c r="M144" i="5"/>
  <c r="L148" i="5"/>
  <c r="G151" i="5"/>
  <c r="P151" i="5"/>
  <c r="G152" i="5"/>
  <c r="G153" i="5"/>
  <c r="R157" i="5"/>
  <c r="P162" i="5"/>
  <c r="N167" i="5"/>
  <c r="P167" i="5" s="1"/>
  <c r="J164" i="5"/>
  <c r="E167" i="5"/>
  <c r="G167" i="5" s="1"/>
  <c r="B159" i="5"/>
  <c r="G144" i="5"/>
  <c r="R144" i="5"/>
  <c r="S144" i="5" s="1"/>
  <c r="D146" i="5"/>
  <c r="R145" i="5"/>
  <c r="S145" i="5" s="1"/>
  <c r="D49" i="4"/>
  <c r="D50" i="4" s="1"/>
  <c r="D153" i="4" s="1"/>
  <c r="D154" i="4" s="1"/>
  <c r="E49" i="4"/>
  <c r="E50" i="4" s="1"/>
  <c r="F64" i="4"/>
  <c r="C86" i="4"/>
  <c r="G82" i="4"/>
  <c r="F134" i="4"/>
  <c r="F49" i="4"/>
  <c r="F50" i="4" s="1"/>
  <c r="G59" i="4"/>
  <c r="G70" i="4"/>
  <c r="D86" i="4"/>
  <c r="G91" i="4"/>
  <c r="B113" i="4"/>
  <c r="G113" i="4" s="1"/>
  <c r="G103" i="4"/>
  <c r="G112" i="4"/>
  <c r="G107" i="4"/>
  <c r="G129" i="4"/>
  <c r="C64" i="4"/>
  <c r="G133" i="4"/>
  <c r="D64" i="4"/>
  <c r="D152" i="4" s="1"/>
  <c r="G31" i="4"/>
  <c r="E64" i="4"/>
  <c r="E152" i="4" s="1"/>
  <c r="B86" i="4"/>
  <c r="G86" i="4" s="1"/>
  <c r="G74" i="4"/>
  <c r="G85" i="4"/>
  <c r="F113" i="4"/>
  <c r="E134" i="4"/>
  <c r="G144" i="4"/>
  <c r="C38" i="4"/>
  <c r="G38" i="4" s="1"/>
  <c r="C42" i="4"/>
  <c r="G42" i="4" s="1"/>
  <c r="B56" i="4"/>
  <c r="B123" i="4"/>
  <c r="G123" i="4" s="1"/>
  <c r="C133" i="4"/>
  <c r="C134" i="4" s="1"/>
  <c r="C22" i="4"/>
  <c r="C26" i="4" s="1"/>
  <c r="C49" i="4" s="1"/>
  <c r="C50" i="4" s="1"/>
  <c r="G61" i="4"/>
  <c r="G76" i="4"/>
  <c r="G97" i="4"/>
  <c r="G109" i="4"/>
  <c r="G143" i="4"/>
  <c r="C151" i="4"/>
  <c r="G151" i="4" s="1"/>
  <c r="G105" i="4"/>
  <c r="B145" i="4"/>
  <c r="G145" i="4" s="1"/>
  <c r="E31" i="4"/>
  <c r="B48" i="4"/>
  <c r="G48" i="4" s="1"/>
  <c r="B21" i="4"/>
  <c r="G34" i="4"/>
  <c r="G40" i="4"/>
  <c r="G88" i="4"/>
  <c r="G116" i="4"/>
  <c r="B103" i="6" l="1"/>
  <c r="D99" i="6"/>
  <c r="B90" i="6"/>
  <c r="D88" i="6"/>
  <c r="B40" i="6"/>
  <c r="D26" i="6"/>
  <c r="M96" i="5"/>
  <c r="S136" i="5"/>
  <c r="G30" i="5"/>
  <c r="E58" i="5"/>
  <c r="P22" i="5"/>
  <c r="D167" i="5"/>
  <c r="Q167" i="5"/>
  <c r="S167" i="5" s="1"/>
  <c r="D149" i="5"/>
  <c r="M101" i="5"/>
  <c r="J73" i="5"/>
  <c r="D26" i="5"/>
  <c r="Q26" i="5"/>
  <c r="S26" i="5" s="1"/>
  <c r="Q159" i="5"/>
  <c r="S159" i="5" s="1"/>
  <c r="D159" i="5"/>
  <c r="R159" i="5"/>
  <c r="R167" i="5"/>
  <c r="G149" i="5"/>
  <c r="E96" i="5"/>
  <c r="G96" i="5" s="1"/>
  <c r="Q84" i="5"/>
  <c r="S84" i="5" s="1"/>
  <c r="G84" i="5"/>
  <c r="B127" i="5"/>
  <c r="Q116" i="5"/>
  <c r="D116" i="5"/>
  <c r="R92" i="5"/>
  <c r="Q92" i="5"/>
  <c r="S92" i="5" s="1"/>
  <c r="D92" i="5"/>
  <c r="B96" i="5"/>
  <c r="I96" i="5"/>
  <c r="R96" i="5" s="1"/>
  <c r="S87" i="5"/>
  <c r="Q55" i="5"/>
  <c r="S55" i="5" s="1"/>
  <c r="S76" i="5"/>
  <c r="H30" i="5"/>
  <c r="J23" i="5"/>
  <c r="G159" i="5"/>
  <c r="E160" i="5"/>
  <c r="G160" i="5" s="1"/>
  <c r="Q68" i="5"/>
  <c r="S68" i="5" s="1"/>
  <c r="D22" i="5"/>
  <c r="Q22" i="5"/>
  <c r="Q42" i="5"/>
  <c r="S42" i="5" s="1"/>
  <c r="D160" i="5"/>
  <c r="S148" i="5"/>
  <c r="K127" i="5"/>
  <c r="M127" i="5" s="1"/>
  <c r="M116" i="5"/>
  <c r="S95" i="5"/>
  <c r="R35" i="5"/>
  <c r="R143" i="5"/>
  <c r="M160" i="5"/>
  <c r="S162" i="5"/>
  <c r="D121" i="5"/>
  <c r="Q121" i="5"/>
  <c r="S121" i="5" s="1"/>
  <c r="J95" i="5"/>
  <c r="P96" i="5"/>
  <c r="I169" i="5"/>
  <c r="I170" i="5" s="1"/>
  <c r="I171" i="5" s="1"/>
  <c r="H149" i="5"/>
  <c r="J149" i="5" s="1"/>
  <c r="M92" i="5"/>
  <c r="S67" i="5"/>
  <c r="Q137" i="5"/>
  <c r="S137" i="5" s="1"/>
  <c r="D137" i="5"/>
  <c r="D48" i="5"/>
  <c r="Q48" i="5"/>
  <c r="S48" i="5" s="1"/>
  <c r="S75" i="5"/>
  <c r="P48" i="5"/>
  <c r="J159" i="5"/>
  <c r="K149" i="5"/>
  <c r="M149" i="5" s="1"/>
  <c r="J167" i="5"/>
  <c r="S99" i="5"/>
  <c r="S163" i="5"/>
  <c r="Q126" i="5"/>
  <c r="S126" i="5" s="1"/>
  <c r="D126" i="5"/>
  <c r="G121" i="5"/>
  <c r="H127" i="5"/>
  <c r="J127" i="5" s="1"/>
  <c r="P137" i="5"/>
  <c r="M73" i="5"/>
  <c r="H160" i="5"/>
  <c r="J160" i="5" s="1"/>
  <c r="B30" i="5"/>
  <c r="D23" i="5"/>
  <c r="P73" i="5"/>
  <c r="Q143" i="5"/>
  <c r="S143" i="5" s="1"/>
  <c r="O149" i="5"/>
  <c r="D71" i="5"/>
  <c r="Q71" i="5"/>
  <c r="S71" i="5" s="1"/>
  <c r="Q80" i="5"/>
  <c r="S80" i="5" s="1"/>
  <c r="D80" i="5"/>
  <c r="N23" i="5"/>
  <c r="K23" i="5"/>
  <c r="L169" i="5"/>
  <c r="L170" i="5" s="1"/>
  <c r="L171" i="5" s="1"/>
  <c r="C23" i="5"/>
  <c r="R22" i="5"/>
  <c r="R116" i="5"/>
  <c r="C127" i="5"/>
  <c r="N127" i="5"/>
  <c r="P127" i="5" s="1"/>
  <c r="P116" i="5"/>
  <c r="B169" i="5"/>
  <c r="Q73" i="5"/>
  <c r="D73" i="5"/>
  <c r="R80" i="5"/>
  <c r="S101" i="5"/>
  <c r="N160" i="5"/>
  <c r="P160" i="5" s="1"/>
  <c r="L160" i="5"/>
  <c r="R160" i="5" s="1"/>
  <c r="R149" i="5"/>
  <c r="P149" i="5"/>
  <c r="S157" i="5"/>
  <c r="M80" i="5"/>
  <c r="S118" i="5"/>
  <c r="Q35" i="5"/>
  <c r="S35" i="5" s="1"/>
  <c r="D35" i="5"/>
  <c r="F127" i="5"/>
  <c r="G127" i="5" s="1"/>
  <c r="O127" i="5"/>
  <c r="O169" i="5" s="1"/>
  <c r="O170" i="5" s="1"/>
  <c r="O171" i="5" s="1"/>
  <c r="F73" i="5"/>
  <c r="G65" i="5"/>
  <c r="C73" i="5"/>
  <c r="R65" i="5"/>
  <c r="S65" i="5" s="1"/>
  <c r="G23" i="5"/>
  <c r="G56" i="4"/>
  <c r="B64" i="4"/>
  <c r="F152" i="4"/>
  <c r="F153" i="4" s="1"/>
  <c r="F154" i="4" s="1"/>
  <c r="C152" i="4"/>
  <c r="C153" i="4" s="1"/>
  <c r="C154" i="4" s="1"/>
  <c r="E153" i="4"/>
  <c r="E154" i="4" s="1"/>
  <c r="G21" i="4"/>
  <c r="B22" i="4"/>
  <c r="B134" i="4"/>
  <c r="G134" i="4" s="1"/>
  <c r="D90" i="6" l="1"/>
  <c r="B91" i="6"/>
  <c r="B104" i="6"/>
  <c r="D104" i="6" s="1"/>
  <c r="D103" i="6"/>
  <c r="D40" i="6"/>
  <c r="B62" i="6"/>
  <c r="D62" i="6" s="1"/>
  <c r="F169" i="5"/>
  <c r="F170" i="5" s="1"/>
  <c r="F171" i="5" s="1"/>
  <c r="R127" i="5"/>
  <c r="K30" i="5"/>
  <c r="M23" i="5"/>
  <c r="B58" i="5"/>
  <c r="Q30" i="5"/>
  <c r="D30" i="5"/>
  <c r="Q149" i="5"/>
  <c r="S149" i="5" s="1"/>
  <c r="N30" i="5"/>
  <c r="P23" i="5"/>
  <c r="Q160" i="5"/>
  <c r="S160" i="5" s="1"/>
  <c r="G73" i="5"/>
  <c r="S116" i="5"/>
  <c r="E169" i="5"/>
  <c r="N169" i="5"/>
  <c r="P169" i="5" s="1"/>
  <c r="K169" i="5"/>
  <c r="M169" i="5" s="1"/>
  <c r="Q96" i="5"/>
  <c r="S96" i="5" s="1"/>
  <c r="D96" i="5"/>
  <c r="Q127" i="5"/>
  <c r="S127" i="5" s="1"/>
  <c r="D127" i="5"/>
  <c r="H169" i="5"/>
  <c r="J169" i="5" s="1"/>
  <c r="C169" i="5"/>
  <c r="R169" i="5" s="1"/>
  <c r="R73" i="5"/>
  <c r="S73" i="5" s="1"/>
  <c r="J96" i="5"/>
  <c r="C30" i="5"/>
  <c r="R23" i="5"/>
  <c r="Q23" i="5"/>
  <c r="S23" i="5" s="1"/>
  <c r="S22" i="5"/>
  <c r="J30" i="5"/>
  <c r="H58" i="5"/>
  <c r="G58" i="5"/>
  <c r="E59" i="5"/>
  <c r="G22" i="4"/>
  <c r="B26" i="4"/>
  <c r="G64" i="4"/>
  <c r="B152" i="4"/>
  <c r="G152" i="4" s="1"/>
  <c r="B105" i="6" l="1"/>
  <c r="D91" i="6"/>
  <c r="S30" i="5"/>
  <c r="N58" i="5"/>
  <c r="P30" i="5"/>
  <c r="B59" i="5"/>
  <c r="E170" i="5"/>
  <c r="G59" i="5"/>
  <c r="G169" i="5"/>
  <c r="D169" i="5"/>
  <c r="C58" i="5"/>
  <c r="D58" i="5" s="1"/>
  <c r="R30" i="5"/>
  <c r="Q169" i="5"/>
  <c r="S169" i="5" s="1"/>
  <c r="K58" i="5"/>
  <c r="M30" i="5"/>
  <c r="J58" i="5"/>
  <c r="H59" i="5"/>
  <c r="B49" i="4"/>
  <c r="G26" i="4"/>
  <c r="B114" i="6" l="1"/>
  <c r="D114" i="6" s="1"/>
  <c r="D105" i="6"/>
  <c r="P58" i="5"/>
  <c r="N59" i="5"/>
  <c r="G170" i="5"/>
  <c r="E171" i="5"/>
  <c r="G171" i="5" s="1"/>
  <c r="H170" i="5"/>
  <c r="J59" i="5"/>
  <c r="M58" i="5"/>
  <c r="K59" i="5"/>
  <c r="Q58" i="5"/>
  <c r="C59" i="5"/>
  <c r="R58" i="5"/>
  <c r="D59" i="5"/>
  <c r="B170" i="5"/>
  <c r="Q59" i="5"/>
  <c r="B50" i="4"/>
  <c r="G49" i="4"/>
  <c r="C170" i="5" l="1"/>
  <c r="R59" i="5"/>
  <c r="N170" i="5"/>
  <c r="P59" i="5"/>
  <c r="J170" i="5"/>
  <c r="H171" i="5"/>
  <c r="J171" i="5" s="1"/>
  <c r="S58" i="5"/>
  <c r="S59" i="5"/>
  <c r="K170" i="5"/>
  <c r="M59" i="5"/>
  <c r="Q170" i="5"/>
  <c r="D170" i="5"/>
  <c r="B171" i="5"/>
  <c r="G50" i="4"/>
  <c r="B153" i="4"/>
  <c r="S170" i="5" l="1"/>
  <c r="M170" i="5"/>
  <c r="K171" i="5"/>
  <c r="M171" i="5" s="1"/>
  <c r="P170" i="5"/>
  <c r="N171" i="5"/>
  <c r="P171" i="5" s="1"/>
  <c r="Q171" i="5"/>
  <c r="S171" i="5" s="1"/>
  <c r="D171" i="5"/>
  <c r="R170" i="5"/>
  <c r="C171" i="5"/>
  <c r="R171" i="5" s="1"/>
  <c r="G153" i="4"/>
  <c r="B154" i="4"/>
  <c r="G154" i="4" s="1"/>
  <c r="F9" i="3" l="1"/>
  <c r="E9" i="3"/>
  <c r="D9" i="3"/>
  <c r="C8" i="3"/>
  <c r="G8" i="3" s="1"/>
  <c r="C7" i="3"/>
  <c r="C9" i="3" s="1"/>
  <c r="F6" i="3"/>
  <c r="B6" i="3"/>
  <c r="G6" i="3" s="1"/>
  <c r="F27" i="2"/>
  <c r="E27" i="2"/>
  <c r="D27" i="2"/>
  <c r="B26" i="2"/>
  <c r="G26" i="2" s="1"/>
  <c r="B25" i="2"/>
  <c r="G25" i="2" s="1"/>
  <c r="B24" i="2"/>
  <c r="G24" i="2" s="1"/>
  <c r="B23" i="2"/>
  <c r="G23" i="2" s="1"/>
  <c r="B22" i="2"/>
  <c r="G22" i="2" s="1"/>
  <c r="B21" i="2"/>
  <c r="G21" i="2" s="1"/>
  <c r="B20" i="2"/>
  <c r="G20" i="2" s="1"/>
  <c r="B19" i="2"/>
  <c r="G19" i="2" s="1"/>
  <c r="B18" i="2"/>
  <c r="G18" i="2" s="1"/>
  <c r="B17" i="2"/>
  <c r="G17" i="2" s="1"/>
  <c r="B16" i="2"/>
  <c r="G16" i="2" s="1"/>
  <c r="B15" i="2"/>
  <c r="G15" i="2" s="1"/>
  <c r="B14" i="2"/>
  <c r="G14" i="2" s="1"/>
  <c r="B13" i="2"/>
  <c r="G13" i="2" s="1"/>
  <c r="B12" i="2"/>
  <c r="G12" i="2" s="1"/>
  <c r="B11" i="2"/>
  <c r="G11" i="2" s="1"/>
  <c r="B10" i="2"/>
  <c r="G10" i="2" s="1"/>
  <c r="B9" i="2"/>
  <c r="G9" i="2" s="1"/>
  <c r="C8" i="2"/>
  <c r="G8" i="2" s="1"/>
  <c r="B7" i="2"/>
  <c r="B27" i="2" s="1"/>
  <c r="C6" i="2"/>
  <c r="C27" i="2" s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C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B72" i="1"/>
  <c r="B71" i="1"/>
  <c r="B70" i="1"/>
  <c r="B69" i="1"/>
  <c r="B68" i="1"/>
  <c r="B67" i="1"/>
  <c r="B66" i="1"/>
  <c r="B65" i="1"/>
  <c r="B64" i="1"/>
  <c r="B63" i="1"/>
  <c r="B62" i="1"/>
  <c r="C61" i="1"/>
  <c r="C60" i="1"/>
  <c r="C59" i="1"/>
  <c r="C58" i="1"/>
  <c r="C57" i="1"/>
  <c r="B56" i="1"/>
  <c r="C55" i="1"/>
  <c r="C54" i="1"/>
  <c r="C53" i="1"/>
  <c r="C52" i="1"/>
  <c r="B51" i="1"/>
  <c r="B50" i="1"/>
  <c r="C49" i="1"/>
  <c r="C48" i="1"/>
  <c r="C47" i="1"/>
  <c r="C46" i="1"/>
  <c r="C45" i="1"/>
  <c r="C44" i="1"/>
  <c r="C43" i="1"/>
  <c r="C42" i="1"/>
  <c r="C41" i="1"/>
  <c r="B40" i="1"/>
  <c r="C39" i="1"/>
  <c r="C38" i="1"/>
  <c r="C37" i="1"/>
  <c r="B36" i="1"/>
  <c r="B35" i="1"/>
  <c r="C34" i="1"/>
  <c r="C33" i="1"/>
  <c r="C32" i="1"/>
  <c r="C31" i="1"/>
  <c r="C30" i="1"/>
  <c r="C29" i="1"/>
  <c r="C28" i="1"/>
  <c r="C149" i="1" s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149" i="1" s="1"/>
  <c r="G7" i="3" l="1"/>
  <c r="B9" i="3"/>
  <c r="G9" i="3" s="1"/>
  <c r="G27" i="2"/>
  <c r="G7" i="2"/>
  <c r="G6" i="2"/>
</calcChain>
</file>

<file path=xl/sharedStrings.xml><?xml version="1.0" encoding="utf-8"?>
<sst xmlns="http://schemas.openxmlformats.org/spreadsheetml/2006/main" count="744" uniqueCount="542">
  <si>
    <t>Debit</t>
  </si>
  <si>
    <t>Credit</t>
  </si>
  <si>
    <t>1001 Cash - Checking:LCS General - 9711</t>
  </si>
  <si>
    <t>1003 Cash - Checking:LCS Athletics - 9737</t>
  </si>
  <si>
    <t>1007 Cash - Checking:LCS Development - 9729</t>
  </si>
  <si>
    <t>1009 Cash - Checking:LCS Campaign - 9752</t>
  </si>
  <si>
    <t>1011 Cash - Checking:Lighthouse Founder's Circle - 9778</t>
  </si>
  <si>
    <t>1013 Cash - Checking:Smart Bank</t>
  </si>
  <si>
    <t>1021 Cash - Savings:LCS Savings - 9760</t>
  </si>
  <si>
    <t>1040 Petty Cash</t>
  </si>
  <si>
    <t>1041 Petty Cash:Petty Cash - Finance</t>
  </si>
  <si>
    <t>1043 Petty Cash:Petty Cash - Athletics</t>
  </si>
  <si>
    <t>1200 Accounts Recivable</t>
  </si>
  <si>
    <t>1201 Accounts Recivable:Accounts Receivable-Tuition</t>
  </si>
  <si>
    <t>1210 Accounts Recivable:Allowance for Doubtful Accounts</t>
  </si>
  <si>
    <t>1303 Other Current Assets:Prepaid Expenses</t>
  </si>
  <si>
    <t>1305 Other Receivables</t>
  </si>
  <si>
    <t>1390 Undeposited Funds</t>
  </si>
  <si>
    <t>1401 Fixed Assets:Fixed Assets - Depreciable</t>
  </si>
  <si>
    <t>Fixed Assets:1410 Fixed Assets - Vehicles</t>
  </si>
  <si>
    <t>Fixed Assets:1415 - Campus Improvements</t>
  </si>
  <si>
    <t>Fixed Assets:1418 - Athletic Complexes</t>
  </si>
  <si>
    <t>Fixed Assets:1419 - Blue Hole Road Complex</t>
  </si>
  <si>
    <t>Fixed Assets:1420 - Preschool- 9 Tusculum Rd</t>
  </si>
  <si>
    <t>1421 Fixed Assets:Accumulated Depreciation-F/A</t>
  </si>
  <si>
    <t>Fixed Assets:1422 - Accumulated Deprecation - Vehicles</t>
  </si>
  <si>
    <t>1423 Fixed Assets:Accumulated Amortization-L/I</t>
  </si>
  <si>
    <t>Fixed Assets:1424 - Accumulated Depreciation - Blue Hole Rd Complex</t>
  </si>
  <si>
    <t>Fixed Assets:1425 - Accumulated Depreciation - 9 Tusculum Rd</t>
  </si>
  <si>
    <t>Fixed Assets:1426 - Accumulated Depreciation - Athletic Complex</t>
  </si>
  <si>
    <t>Fixed Assets:1427 - Accumulated Depreciation - Capital Lease Asset</t>
  </si>
  <si>
    <t>1031 Endowment Asset</t>
  </si>
  <si>
    <t>1600 Capital Lease Asset</t>
  </si>
  <si>
    <t>2000 Accounts Payable</t>
  </si>
  <si>
    <t>2203 Other Current Liabilities:Accrued Payables</t>
  </si>
  <si>
    <t>2210 Other Current Liabilities:Payroll-related Liabilities</t>
  </si>
  <si>
    <t>2211 Other Current Liabilities:Payroll-related Liabilities:Accrued Salaries and Taxes</t>
  </si>
  <si>
    <t>2213 Other Current Liabilities:Payroll-related Liabilities:Healthcare</t>
  </si>
  <si>
    <t>2215 Other Current Liabilities:Payroll-related Liabilities:Retirement</t>
  </si>
  <si>
    <t>2216 Other Current Liabilities:Payroll-related Liabilities:Employee Deductions</t>
  </si>
  <si>
    <t>2223 Other Current Liabilities:Advance Collections:Other Advance Collections</t>
  </si>
  <si>
    <t>2231 Other Current Liabilities:Deferred Revenue:Deferred Tuition Revenue</t>
  </si>
  <si>
    <t>2233 Other Current Liabilities:Deferred Revenue:Deferred Revenue-Registration/Curriculum</t>
  </si>
  <si>
    <t>2270 Other Current Liabilities:Other</t>
  </si>
  <si>
    <t>2273 Other Current Liabilities:N/P - S/T Portions</t>
  </si>
  <si>
    <t>2275 Other Current Liabilities:Capital Leases - S/T Portions</t>
  </si>
  <si>
    <t>2280 Due to/from Church</t>
  </si>
  <si>
    <t>2511 Long Term Liabilities:Notes Payable:Prepaid Loan Fees - 5/3rd Bank</t>
  </si>
  <si>
    <t>2513 Long Term Liabilities:Notes Payable:Other Long Term Liabilities</t>
  </si>
  <si>
    <t>2515 Long Term Liabilities:Notes Payable:Blue Hole Road Complex</t>
  </si>
  <si>
    <t>2517 Long Term Liabilities:Notes Payable:SBA PPP Loan Payable</t>
  </si>
  <si>
    <t>2541 Long Term Liabilities:Capital Leases:Capital Lease</t>
  </si>
  <si>
    <t>3000 Retained Earnings</t>
  </si>
  <si>
    <t>3001 Net Assets With Donor Restrictions</t>
  </si>
  <si>
    <t>3005 Net Assets Without Donor Restrictions</t>
  </si>
  <si>
    <t>3007 Net Assets-Suspense</t>
  </si>
  <si>
    <t>3010 Opening Balance Equity</t>
  </si>
  <si>
    <t>4001 Tuition and Registration:Tuition Revenue - School</t>
  </si>
  <si>
    <t>4011 Tuition and Registration:Tuition Revenue - School:Tuition Discounts:TD-Financial Aid &amp; WS</t>
  </si>
  <si>
    <t>4013 Tuition and Registration:Tuition Revenue - School:Tuition Discounts:TD-Multi-Family</t>
  </si>
  <si>
    <t>4015 Tuition and Registration:Tuition Revenue - School:Tuition Discounts:TD-Staff</t>
  </si>
  <si>
    <t>4017 Tuition and Registration:Tuition Revenue - School:Tuition Discounts:TD-Workstudy</t>
  </si>
  <si>
    <t>4019 Tuition and Registration:Tuition Revenue - School:Tuition Discounts:TD-Pastoral &amp; Presidents</t>
  </si>
  <si>
    <t>4021 Tuition and Registration:Tuition Revenue - School:Tuition Discounts:TD-President's</t>
  </si>
  <si>
    <t>4023 Tuition and Registration:Tuition Revenue - School:Tuition Discounts:TD-Fish Voucher</t>
  </si>
  <si>
    <t>4025 Tuition and Registration:Tuition Revenue - School:Tuition Discounts:TD-Early Pay</t>
  </si>
  <si>
    <t>4027 Tuition and Registration:Tuition Revenue - School:Tuition Discounts:TD - Scholarships &amp; FISH</t>
  </si>
  <si>
    <t>4029 Tuition and Registration:Tuition Revenue - School:Tuition Discounts:TD - Refunds or Credits</t>
  </si>
  <si>
    <t>4031 Tuition and Registration:Tuition Revenue - School:Tuition Discounts:TD - Alumni</t>
  </si>
  <si>
    <t>4020 Tuition and Registration:Preschool Tuition</t>
  </si>
  <si>
    <t>4040 Tuition and Registration:Before &amp; After School Revenue</t>
  </si>
  <si>
    <t>4050 Tuition and Registration:Summer/Other Break Revenue</t>
  </si>
  <si>
    <t>4103 Student Fees:Curriculum Revenue</t>
  </si>
  <si>
    <t>4106 Student Fees:Field Trip Collections</t>
  </si>
  <si>
    <t>4109 Student Fees:Other Student Fee Income</t>
  </si>
  <si>
    <t>4201 Other Program Revenue:Athletic Gate Revenue</t>
  </si>
  <si>
    <t>4202 Other Program Revenue:Athletic Fee Income</t>
  </si>
  <si>
    <t>4203 Other Program Revenue:Athletic Concessions</t>
  </si>
  <si>
    <t>4205 Other Program Revenue:Cafeteria Sales</t>
  </si>
  <si>
    <t>4207 Other Program Revenue:Rental Revenue</t>
  </si>
  <si>
    <t>4301 Other Support:Charitable Contributions</t>
  </si>
  <si>
    <t>4305 Other Support:Fundraising Events</t>
  </si>
  <si>
    <t>4507 Miscellaneous Income:Interest Income</t>
  </si>
  <si>
    <t>4509 Miscellaneous Income:Finance/Late Charges</t>
  </si>
  <si>
    <t>4510 Miscellaneous Income:Cost Sharing Income</t>
  </si>
  <si>
    <t>4511 Miscellaneous Income:Other Misc Income</t>
  </si>
  <si>
    <t>5011 Personnel:Instructional:Instructional Staff</t>
  </si>
  <si>
    <t>5015 Personnel:Instructional:Support Staff - All Other</t>
  </si>
  <si>
    <t>5023 Personnel:Administration:Office Support</t>
  </si>
  <si>
    <t>5031 Personnel:Facilities:Other - Maint &amp; Security</t>
  </si>
  <si>
    <t>5040 Personnel:Personnel Expense - Other</t>
  </si>
  <si>
    <t>5101 Taxes and Benefits:ER Taxes</t>
  </si>
  <si>
    <t>5105 Taxes and Benefits:Workers Compensation</t>
  </si>
  <si>
    <t>5109 Taxes and Benefits:Health Insurance</t>
  </si>
  <si>
    <t>5113 Taxes and Benefits:Bonuses</t>
  </si>
  <si>
    <t>5211 Contracted Services:Instructional:Background checks &amp; Fingerprinting</t>
  </si>
  <si>
    <t>5221 Contracted Services:Administration:Outsourced Accounting</t>
  </si>
  <si>
    <t>5225 Contracted Services:Administration:Payroll Services</t>
  </si>
  <si>
    <t>5227 Contracted Services:Administration:FACTS Tuition</t>
  </si>
  <si>
    <t>5228 Contracted Services:Administration:QuickBooks Payments Fees</t>
  </si>
  <si>
    <t>5229 Contracted Services:Administration:Collection Services</t>
  </si>
  <si>
    <t>5230 Contracted Services:Administration:Technology Specialists</t>
  </si>
  <si>
    <t>5241 Contracted Services:Facilities:Pest Control</t>
  </si>
  <si>
    <t>5301 Professional Development:Off-site Meetings</t>
  </si>
  <si>
    <t>5305 Professional Development:Subscriptions</t>
  </si>
  <si>
    <t>5307 Professional Development:On-site Meetings</t>
  </si>
  <si>
    <t>5411 Supplies:Instructional:Textbooks</t>
  </si>
  <si>
    <t>5413 Supplies:Instructional:Core Curriculum</t>
  </si>
  <si>
    <t>5415 Supplies:Instructional:Instructinal-Classroom</t>
  </si>
  <si>
    <t>5417 Supplies:Instructional:Athletic</t>
  </si>
  <si>
    <t>5421 Supplies:Instructional:Graduation</t>
  </si>
  <si>
    <t>5422 Supplies:Instructional:Scholarships</t>
  </si>
  <si>
    <t>5423 Supplies:Instructional:Assessment and Testing</t>
  </si>
  <si>
    <t>5427 Supplies:Instructional:Educational Software</t>
  </si>
  <si>
    <t>5431 Supplies:Instructional:Cafeteria-Food Services</t>
  </si>
  <si>
    <t>5441 Supplies:Administrative:Office Supplies</t>
  </si>
  <si>
    <t>5445 Supplies:Administrative:Dues &amp; Fees</t>
  </si>
  <si>
    <t>5451 Supplies:Facilities:Janitorial Supplies</t>
  </si>
  <si>
    <t>5452 Supplies:Facilities:COVID/PPE Supplies</t>
  </si>
  <si>
    <t>5453 Supplies:Facilities:Tools or Supplies</t>
  </si>
  <si>
    <t>5500 Meals</t>
  </si>
  <si>
    <t>5601 Other Administrative Services:Bank Fees</t>
  </si>
  <si>
    <t>5603 Other Administrative Services:Bad Debt</t>
  </si>
  <si>
    <t>5611 Other Administrative Services:Communications:Phone</t>
  </si>
  <si>
    <t>5613 Other Administrative Services:Communications:Cable and Internet</t>
  </si>
  <si>
    <t>5615 Other Administrative Services:Communications:Postage</t>
  </si>
  <si>
    <t>5617 Other Administrative Services:Communications:Printing/copying</t>
  </si>
  <si>
    <t>5620 Other Administrative Services:Equipment - rent/lease</t>
  </si>
  <si>
    <t>5631 Other Administrative Services:Insurance:General Liability</t>
  </si>
  <si>
    <t>5637 Other Administrative Services:Insurance:Property</t>
  </si>
  <si>
    <t>5639 Other Administrative Services:Insurance:Vehicle Insurance</t>
  </si>
  <si>
    <t>5641 Other Administrative Services:Marketing:Student Recruitment</t>
  </si>
  <si>
    <t>5645 Other Administrative Services:Marketing:Fundraising Events</t>
  </si>
  <si>
    <t>6001 Facilities:Utilities</t>
  </si>
  <si>
    <t>6002 Facilities:Security</t>
  </si>
  <si>
    <t>6003 Facilities:Janitorial</t>
  </si>
  <si>
    <t>6005 Facilities:Landscaping</t>
  </si>
  <si>
    <t>6010 Facilities:Repair and Maintenance</t>
  </si>
  <si>
    <t>6011 Facilities:Repair and Maintenance:Building &amp; Grounds</t>
  </si>
  <si>
    <t>6013 Facilities:Repair and Maintenance:Equipment-Other</t>
  </si>
  <si>
    <t>6017 Facilities:Repair and Maintenance:Vehicles</t>
  </si>
  <si>
    <t>7001 Other Expenses:Interest Expense</t>
  </si>
  <si>
    <t>7005 Other Expenses:Notes Payable Interest</t>
  </si>
  <si>
    <t>7020 Other Expenses:Depreciation Expense</t>
  </si>
  <si>
    <t>7027 Other Expenses:Other Miscellaneous Expenditure</t>
  </si>
  <si>
    <t>TOTAL</t>
  </si>
  <si>
    <t>Monday, Jan 11, 2021 12:53:18 PM GMT-8 - Accrual Basis</t>
  </si>
  <si>
    <t>Lighthouse Christian School</t>
  </si>
  <si>
    <t>Trial Balance</t>
  </si>
  <si>
    <t>As of December 31, 2020</t>
  </si>
  <si>
    <t>A/P Aging Summary</t>
  </si>
  <si>
    <t>Current</t>
  </si>
  <si>
    <t>1 - 30</t>
  </si>
  <si>
    <t>31 - 60</t>
  </si>
  <si>
    <t>61 - 90</t>
  </si>
  <si>
    <t>91 and over</t>
  </si>
  <si>
    <t>Total</t>
  </si>
  <si>
    <t>ADS Security</t>
  </si>
  <si>
    <t>AT&amp;T</t>
  </si>
  <si>
    <t>Blankenship CPA Group, PLLC</t>
  </si>
  <si>
    <t>City Wide Facility Solutions of Nashville</t>
  </si>
  <si>
    <t>Clarke Power Services, Inc</t>
  </si>
  <si>
    <t>Comcast</t>
  </si>
  <si>
    <t>Copperband Technologies LLC</t>
  </si>
  <si>
    <t>Dex Imaging, Inc.</t>
  </si>
  <si>
    <t>Ferguson Enterprises LLC</t>
  </si>
  <si>
    <t>GFL Environmental</t>
  </si>
  <si>
    <t>Hiller LLC</t>
  </si>
  <si>
    <t>Home Depot</t>
  </si>
  <si>
    <t>Metro Water Services</t>
  </si>
  <si>
    <t>Nashville Electric Service</t>
  </si>
  <si>
    <t>Nationwide Testing Association, Inc.</t>
  </si>
  <si>
    <t>Pye-Barker Fire &amp; Safety, Inc.</t>
  </si>
  <si>
    <t>Randolph Business Resources, LLC</t>
  </si>
  <si>
    <t>TACS</t>
  </si>
  <si>
    <t>Thrivent Financial</t>
  </si>
  <si>
    <t>US Bank Equipment Finance</t>
  </si>
  <si>
    <t>Wells Fargo Vendor Financial Services</t>
  </si>
  <si>
    <t>Monday, Jan 11, 2021 12:54:43 PM GMT-8</t>
  </si>
  <si>
    <t>A/R Aging Summary</t>
  </si>
  <si>
    <t>FACTS-TUITION INVOICE ONLY, NET</t>
  </si>
  <si>
    <t>Pam Mrzena</t>
  </si>
  <si>
    <t>The Filipino Church</t>
  </si>
  <si>
    <t>Monday, Jan 11, 2021 12:55:26 PM GMT-8</t>
  </si>
  <si>
    <t>Profit and Loss by Month</t>
  </si>
  <si>
    <t>August - December, 2020</t>
  </si>
  <si>
    <t>Aug 2020</t>
  </si>
  <si>
    <t>Sep 2020</t>
  </si>
  <si>
    <t>Oct 2020</t>
  </si>
  <si>
    <t>Nov 2020</t>
  </si>
  <si>
    <t>Dec 2020</t>
  </si>
  <si>
    <t>Income</t>
  </si>
  <si>
    <t xml:space="preserve">   4000 Tuition and Registration</t>
  </si>
  <si>
    <t xml:space="preserve">      4001 Tuition Revenue - School</t>
  </si>
  <si>
    <t xml:space="preserve">         4010 Tuition Discounts</t>
  </si>
  <si>
    <t xml:space="preserve">            4011 TD-Financial Aid &amp; WS</t>
  </si>
  <si>
    <t xml:space="preserve">            4013 TD-Multi-Family</t>
  </si>
  <si>
    <t xml:space="preserve">            4015 TD-Staff</t>
  </si>
  <si>
    <t xml:space="preserve">            4017 TD-Workstudy</t>
  </si>
  <si>
    <t xml:space="preserve">            4019 TD-Pastoral &amp; Presidents</t>
  </si>
  <si>
    <t xml:space="preserve">            4021 TD-President's</t>
  </si>
  <si>
    <t xml:space="preserve">            4023 TD-Fish Voucher</t>
  </si>
  <si>
    <t xml:space="preserve">            4025 TD-Early Pay</t>
  </si>
  <si>
    <t xml:space="preserve">            4027 TD - Scholarships &amp; FISH</t>
  </si>
  <si>
    <t xml:space="preserve">            4029 TD - Refunds or Credits</t>
  </si>
  <si>
    <t xml:space="preserve">            4031 TD - Alumni</t>
  </si>
  <si>
    <t xml:space="preserve">         Total 4010 Tuition Discounts</t>
  </si>
  <si>
    <t xml:space="preserve">      Total 4001 Tuition Revenue - School</t>
  </si>
  <si>
    <t xml:space="preserve">      4020 Preschool Tuition</t>
  </si>
  <si>
    <t xml:space="preserve">      4040 Before &amp; After School Revenue</t>
  </si>
  <si>
    <t xml:space="preserve">      4050 Summer/Other Break Revenue</t>
  </si>
  <si>
    <t xml:space="preserve">   Total 4000 Tuition and Registration</t>
  </si>
  <si>
    <t xml:space="preserve">   4100 Student Fees</t>
  </si>
  <si>
    <t xml:space="preserve">      4103 Curriculum Revenue</t>
  </si>
  <si>
    <t xml:space="preserve">      4106 Field Trip Collections</t>
  </si>
  <si>
    <t xml:space="preserve">      4109 Other Student Fee Income</t>
  </si>
  <si>
    <t xml:space="preserve">   Total 4100 Student Fees</t>
  </si>
  <si>
    <t xml:space="preserve">   4200 Other Program Revenue</t>
  </si>
  <si>
    <t xml:space="preserve">      4201 Athletic Gate Revenue</t>
  </si>
  <si>
    <t xml:space="preserve">      4202 Athletic Fee Income</t>
  </si>
  <si>
    <t xml:space="preserve">      4203 Athletic Concessions</t>
  </si>
  <si>
    <t xml:space="preserve">      4205 Cafeteria Sales</t>
  </si>
  <si>
    <t xml:space="preserve">      4207 Rental Revenue</t>
  </si>
  <si>
    <t xml:space="preserve">   Total 4200 Other Program Revenue</t>
  </si>
  <si>
    <t xml:space="preserve">   4300 Other Support</t>
  </si>
  <si>
    <t xml:space="preserve">      4301 Charitable Contributions</t>
  </si>
  <si>
    <t xml:space="preserve">      4305 Fundraising Events</t>
  </si>
  <si>
    <t xml:space="preserve">   Total 4300 Other Support</t>
  </si>
  <si>
    <t xml:space="preserve">   4500 Miscellaneous Income</t>
  </si>
  <si>
    <t xml:space="preserve">      4507 Interest Income</t>
  </si>
  <si>
    <t xml:space="preserve">      4509 Finance/Late Charges</t>
  </si>
  <si>
    <t xml:space="preserve">      4510 Cost Sharing Income</t>
  </si>
  <si>
    <t xml:space="preserve">      4511 Other Misc Income</t>
  </si>
  <si>
    <t xml:space="preserve">   Total 4500 Miscellaneous Income</t>
  </si>
  <si>
    <t>Total Income</t>
  </si>
  <si>
    <t>Gross Profit</t>
  </si>
  <si>
    <t>Expenses</t>
  </si>
  <si>
    <t xml:space="preserve">   5000 Personnel</t>
  </si>
  <si>
    <t xml:space="preserve">      5010 Instructional</t>
  </si>
  <si>
    <t xml:space="preserve">         5011 Instructional Staff</t>
  </si>
  <si>
    <t xml:space="preserve">         5015 Support Staff - All Other</t>
  </si>
  <si>
    <t xml:space="preserve">      Total 5010 Instructional</t>
  </si>
  <si>
    <t xml:space="preserve">      5020 Administration</t>
  </si>
  <si>
    <t xml:space="preserve">         5023 Office Support</t>
  </si>
  <si>
    <t xml:space="preserve">      Total 5020 Administration</t>
  </si>
  <si>
    <t xml:space="preserve">      5030 Facilities</t>
  </si>
  <si>
    <t xml:space="preserve">         5031 Other - Maint &amp; Security</t>
  </si>
  <si>
    <t xml:space="preserve">      Total 5030 Facilities</t>
  </si>
  <si>
    <t xml:space="preserve">      5040 Personnel Expense - Other</t>
  </si>
  <si>
    <t xml:space="preserve">   Total 5000 Personnel</t>
  </si>
  <si>
    <t xml:space="preserve">   5100 Taxes and Benefits</t>
  </si>
  <si>
    <t xml:space="preserve">      5101 ER Taxes</t>
  </si>
  <si>
    <t xml:space="preserve">      5105 Workers Compensation</t>
  </si>
  <si>
    <t xml:space="preserve">      5109 Health Insurance</t>
  </si>
  <si>
    <t xml:space="preserve">      5113 Bonuses</t>
  </si>
  <si>
    <t xml:space="preserve">   Total 5100 Taxes and Benefits</t>
  </si>
  <si>
    <t xml:space="preserve">   5200 Contracted Services</t>
  </si>
  <si>
    <t xml:space="preserve">      5210 Instructional</t>
  </si>
  <si>
    <t xml:space="preserve">         5211 Background checks &amp; Fingerprinting</t>
  </si>
  <si>
    <t xml:space="preserve">      Total 5210 Instructional</t>
  </si>
  <si>
    <t xml:space="preserve">      5220 Administration</t>
  </si>
  <si>
    <t xml:space="preserve">         5221 Outsourced Accounting</t>
  </si>
  <si>
    <t xml:space="preserve">         5225 Payroll Services</t>
  </si>
  <si>
    <t xml:space="preserve">         5227 FACTS Tuition</t>
  </si>
  <si>
    <t xml:space="preserve">         5228 QuickBooks Payments Fees</t>
  </si>
  <si>
    <t xml:space="preserve">         5229 Collection Services</t>
  </si>
  <si>
    <t xml:space="preserve">         5230 Technology Specialists</t>
  </si>
  <si>
    <t xml:space="preserve">      Total 5220 Administration</t>
  </si>
  <si>
    <t xml:space="preserve">      5240 Facilities</t>
  </si>
  <si>
    <t xml:space="preserve">         5241 Pest Control</t>
  </si>
  <si>
    <t xml:space="preserve">      Total 5240 Facilities</t>
  </si>
  <si>
    <t xml:space="preserve">   Total 5200 Contracted Services</t>
  </si>
  <si>
    <t xml:space="preserve">   5300 Professional Development</t>
  </si>
  <si>
    <t xml:space="preserve">      5301 Off-site Meetings</t>
  </si>
  <si>
    <t xml:space="preserve">      5305 Subscriptions</t>
  </si>
  <si>
    <t xml:space="preserve">      5307 On-site Meetings</t>
  </si>
  <si>
    <t xml:space="preserve">   Total 5300 Professional Development</t>
  </si>
  <si>
    <t xml:space="preserve">   5400 Supplies</t>
  </si>
  <si>
    <t xml:space="preserve">      5410 Instructional</t>
  </si>
  <si>
    <t xml:space="preserve">         5411 Textbooks</t>
  </si>
  <si>
    <t xml:space="preserve">         5413 Core Curriculum</t>
  </si>
  <si>
    <t xml:space="preserve">         5415 Instructinal-Classroom</t>
  </si>
  <si>
    <t xml:space="preserve">         5417 Athletic</t>
  </si>
  <si>
    <t xml:space="preserve">         5421 Graduation</t>
  </si>
  <si>
    <t xml:space="preserve">         5422 Scholarships</t>
  </si>
  <si>
    <t xml:space="preserve">         5423 Assessment and Testing</t>
  </si>
  <si>
    <t xml:space="preserve">         5427 Educational Software</t>
  </si>
  <si>
    <t xml:space="preserve">         5431 Cafeteria-Food Services</t>
  </si>
  <si>
    <t xml:space="preserve">      Total 5410 Instructional</t>
  </si>
  <si>
    <t xml:space="preserve">      5440 Administrative</t>
  </si>
  <si>
    <t xml:space="preserve">         5441 Office Supplies</t>
  </si>
  <si>
    <t xml:space="preserve">         5445 Dues &amp; Fees</t>
  </si>
  <si>
    <t xml:space="preserve">      Total 5440 Administrative</t>
  </si>
  <si>
    <t xml:space="preserve">      5450 Facilities</t>
  </si>
  <si>
    <t xml:space="preserve">         5451 Janitorial Supplies</t>
  </si>
  <si>
    <t xml:space="preserve">         5452 COVID/PPE Supplies</t>
  </si>
  <si>
    <t xml:space="preserve">         5453 Tools or Supplies</t>
  </si>
  <si>
    <t xml:space="preserve">      Total 5450 Facilities</t>
  </si>
  <si>
    <t xml:space="preserve">   Total 5400 Supplies</t>
  </si>
  <si>
    <t xml:space="preserve">   5500 Meals</t>
  </si>
  <si>
    <t xml:space="preserve">   5600 Other Administrative Services</t>
  </si>
  <si>
    <t xml:space="preserve">      5601 Bank Fees</t>
  </si>
  <si>
    <t xml:space="preserve">      5603 Bad Debt</t>
  </si>
  <si>
    <t xml:space="preserve">      5610 Communications</t>
  </si>
  <si>
    <t xml:space="preserve">         5611 Phone</t>
  </si>
  <si>
    <t xml:space="preserve">         5613 Cable and Internet</t>
  </si>
  <si>
    <t xml:space="preserve">         5615 Postage</t>
  </si>
  <si>
    <t xml:space="preserve">         5617 Printing/copying</t>
  </si>
  <si>
    <t xml:space="preserve">      Total 5610 Communications</t>
  </si>
  <si>
    <t xml:space="preserve">      5620 Equipment - rent/lease</t>
  </si>
  <si>
    <t xml:space="preserve">      5630 Insurance</t>
  </si>
  <si>
    <t xml:space="preserve">         5631 General Liability</t>
  </si>
  <si>
    <t xml:space="preserve">         5637 Property</t>
  </si>
  <si>
    <t xml:space="preserve">         5639 Vehicle Insurance</t>
  </si>
  <si>
    <t xml:space="preserve">      Total 5630 Insurance</t>
  </si>
  <si>
    <t xml:space="preserve">      5640 Marketing</t>
  </si>
  <si>
    <t xml:space="preserve">         5641 Student Recruitment</t>
  </si>
  <si>
    <t xml:space="preserve">         5645 Fundraising Events</t>
  </si>
  <si>
    <t xml:space="preserve">      Total 5640 Marketing</t>
  </si>
  <si>
    <t xml:space="preserve">   Total 5600 Other Administrative Services</t>
  </si>
  <si>
    <t xml:space="preserve">   6000 Facilities</t>
  </si>
  <si>
    <t xml:space="preserve">      6001 Utilities</t>
  </si>
  <si>
    <t xml:space="preserve">      6002 Security</t>
  </si>
  <si>
    <t xml:space="preserve">      6003 Janitorial</t>
  </si>
  <si>
    <t xml:space="preserve">      6005 Landscaping</t>
  </si>
  <si>
    <t xml:space="preserve">      6010 Repair and Maintenance</t>
  </si>
  <si>
    <t xml:space="preserve">         6011 Building &amp; Grounds</t>
  </si>
  <si>
    <t xml:space="preserve">         6013 Equipment-Other</t>
  </si>
  <si>
    <t xml:space="preserve">         6017 Vehicles</t>
  </si>
  <si>
    <t xml:space="preserve">      Total 6010 Repair and Maintenance</t>
  </si>
  <si>
    <t xml:space="preserve">   Total 6000 Facilities</t>
  </si>
  <si>
    <t xml:space="preserve">   7000 Other Expenses</t>
  </si>
  <si>
    <t xml:space="preserve">      7001 Interest Expense</t>
  </si>
  <si>
    <t xml:space="preserve">      7005 Notes Payable Interest</t>
  </si>
  <si>
    <t xml:space="preserve">      7020 Depreciation Expense</t>
  </si>
  <si>
    <t xml:space="preserve">      7027 Other Miscellaneous Expenditure</t>
  </si>
  <si>
    <t xml:space="preserve">   Total 7000 Other Expenses</t>
  </si>
  <si>
    <t>Total Expenses</t>
  </si>
  <si>
    <t>Net Operating Income</t>
  </si>
  <si>
    <t>Net Income</t>
  </si>
  <si>
    <t>Monday, Jan 11, 2021 01:03:33 PM GMT-8 - Accrual Basis</t>
  </si>
  <si>
    <t>Aug 2019 (PY)</t>
  </si>
  <si>
    <t>Change</t>
  </si>
  <si>
    <t>Sep 2019 (PY)</t>
  </si>
  <si>
    <t>Oct 2019 (PY)</t>
  </si>
  <si>
    <t>Nov 2019 (PY)</t>
  </si>
  <si>
    <t>Dec 2019 (PY)</t>
  </si>
  <si>
    <t>Aug - Dec, 2019 (PY)</t>
  </si>
  <si>
    <t xml:space="preserve">         4012 TD - Preschool</t>
  </si>
  <si>
    <t xml:space="preserve">      Total 4020 Preschool Tuition</t>
  </si>
  <si>
    <t xml:space="preserve">      4060 Tuition Revenue - Prior Years</t>
  </si>
  <si>
    <t xml:space="preserve">      4303 Charitable Contributions-In Kind</t>
  </si>
  <si>
    <t xml:space="preserve">      4307 Grant Revenue</t>
  </si>
  <si>
    <t xml:space="preserve">   4309 Donor Restricted Revenue</t>
  </si>
  <si>
    <t xml:space="preserve">   Uncategorized Income</t>
  </si>
  <si>
    <t xml:space="preserve">   zcf0ac24a (in use)</t>
  </si>
  <si>
    <t xml:space="preserve">      5120 Retirement</t>
  </si>
  <si>
    <t xml:space="preserve">         5419 Yearbook</t>
  </si>
  <si>
    <t xml:space="preserve">         5425 Food Service Supplies</t>
  </si>
  <si>
    <t xml:space="preserve">         5429 Non-capitalized Equipment</t>
  </si>
  <si>
    <t xml:space="preserve">         5443 Accreditation</t>
  </si>
  <si>
    <t xml:space="preserve">         5643 Staff Recruitment</t>
  </si>
  <si>
    <t xml:space="preserve">      7025 Uncategorized Expense</t>
  </si>
  <si>
    <t xml:space="preserve">   Support Staff - All Other</t>
  </si>
  <si>
    <t>Monday, Jan 11, 2021 01:05:44 PM GMT-8 - Accrual Basis</t>
  </si>
  <si>
    <t xml:space="preserve">Balance Sheet Comparison </t>
  </si>
  <si>
    <t>As of Dec 31, 2020</t>
  </si>
  <si>
    <t>As of Jul 31, 2020 (PP)</t>
  </si>
  <si>
    <t>ASSETS</t>
  </si>
  <si>
    <t xml:space="preserve">   Current Assets</t>
  </si>
  <si>
    <t xml:space="preserve">      Bank Accounts</t>
  </si>
  <si>
    <t xml:space="preserve">         1000 Cash - Checking</t>
  </si>
  <si>
    <t xml:space="preserve">            1001 LCS General - 9711</t>
  </si>
  <si>
    <t xml:space="preserve">            1003 LCS Athletics - 9737</t>
  </si>
  <si>
    <t xml:space="preserve">            1005 LCS Designated - 9745 (deleted)</t>
  </si>
  <si>
    <t xml:space="preserve">            1007 LCS Development - 9729</t>
  </si>
  <si>
    <t xml:space="preserve">            1009 LCS Campaign - 9752</t>
  </si>
  <si>
    <t xml:space="preserve">            1011 Lighthouse Founder's Circle - 9778</t>
  </si>
  <si>
    <t xml:space="preserve">            1013 Smart Bank</t>
  </si>
  <si>
    <t xml:space="preserve">         Total 1000 Cash - Checking</t>
  </si>
  <si>
    <t xml:space="preserve">         1020 Cash - Savings</t>
  </si>
  <si>
    <t xml:space="preserve">            1021 LCS Savings - 9760</t>
  </si>
  <si>
    <t xml:space="preserve">         Total 1020 Cash - Savings</t>
  </si>
  <si>
    <t xml:space="preserve">         1040 Petty Cash</t>
  </si>
  <si>
    <t xml:space="preserve">            1041 Petty Cash - Finance</t>
  </si>
  <si>
    <t xml:space="preserve">            1043 Petty Cash - Athletics</t>
  </si>
  <si>
    <t xml:space="preserve">         Total 1040 Petty Cash</t>
  </si>
  <si>
    <t xml:space="preserve">      Total Bank Accounts</t>
  </si>
  <si>
    <t xml:space="preserve">      Accounts Receivable</t>
  </si>
  <si>
    <t xml:space="preserve">         1200 Accounts Recivable</t>
  </si>
  <si>
    <t xml:space="preserve">            1201 Accounts Receivable-Tuition</t>
  </si>
  <si>
    <t xml:space="preserve">            1210 Allowance for Doubtful Accounts</t>
  </si>
  <si>
    <t xml:space="preserve">         Total 1200 Accounts Recivable</t>
  </si>
  <si>
    <t xml:space="preserve">      Total Accounts Receivable</t>
  </si>
  <si>
    <t xml:space="preserve">      Other Current Assets</t>
  </si>
  <si>
    <t xml:space="preserve">         1300 Other Current Assets</t>
  </si>
  <si>
    <t xml:space="preserve">            1303 Prepaid Expenses</t>
  </si>
  <si>
    <t xml:space="preserve">         Total 1300 Other Current Assets</t>
  </si>
  <si>
    <t xml:space="preserve">         1305 Other Receivables</t>
  </si>
  <si>
    <t xml:space="preserve">         1390 Undeposited Funds</t>
  </si>
  <si>
    <t xml:space="preserve">      Total Other Current Assets</t>
  </si>
  <si>
    <t xml:space="preserve">   Total Current Assets</t>
  </si>
  <si>
    <t xml:space="preserve">   Fixed Assets</t>
  </si>
  <si>
    <t xml:space="preserve">      1400 Fixed Assets</t>
  </si>
  <si>
    <t xml:space="preserve">         1401 Fixed Assets - Depreciable</t>
  </si>
  <si>
    <t xml:space="preserve">         1410 Fixed Assets - Vehicles</t>
  </si>
  <si>
    <t xml:space="preserve">         1415 - Campus Improvements</t>
  </si>
  <si>
    <t xml:space="preserve">         1418 - Athletic Complexes</t>
  </si>
  <si>
    <t xml:space="preserve">         1419 - Blue Hole Road Complex</t>
  </si>
  <si>
    <t xml:space="preserve">         1420 - Preschool- 9 Tusculum Rd</t>
  </si>
  <si>
    <t xml:space="preserve">         1421 Accumulated Depreciation-F/A</t>
  </si>
  <si>
    <t xml:space="preserve">         1422 - Accumulated Deprecation - Vehicles</t>
  </si>
  <si>
    <t xml:space="preserve">         1423 Accumulated Amortization-L/I</t>
  </si>
  <si>
    <t xml:space="preserve">         1424 - Accumulated Depreciation - Blue Hole Rd Complex</t>
  </si>
  <si>
    <t xml:space="preserve">         1425 - Accumulated Depreciation - 9 Tusculum Rd</t>
  </si>
  <si>
    <t xml:space="preserve">         1426 - Accumulated Depreciation - Athletic Complex</t>
  </si>
  <si>
    <t xml:space="preserve">         1427 - Accumulated Depreciation - Capital Lease Asset</t>
  </si>
  <si>
    <t xml:space="preserve">      Total 1400 Fixed Assets</t>
  </si>
  <si>
    <t xml:space="preserve">   Total Fixed Assets</t>
  </si>
  <si>
    <t xml:space="preserve">   Other Assets</t>
  </si>
  <si>
    <t xml:space="preserve">      1031 Endowment Asset</t>
  </si>
  <si>
    <t xml:space="preserve">      1600 Capital Lease Asset</t>
  </si>
  <si>
    <t xml:space="preserve">   Total Other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</si>
  <si>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</si>
  <si>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</si>
  <si>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</si>
  <si>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</si>
  <si>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</si>
  <si>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 Accounts Payable</t>
  </si>
  <si>
    <t xml:space="preserve">         Total Accounts Payable</t>
  </si>
  <si>
    <t xml:space="preserve">         Other Current Liabilities</t>
  </si>
  <si>
    <t xml:space="preserve">            2200 Other Current Liabilities</t>
  </si>
  <si>
    <t xml:space="preserve">               2203 Accrued Payables</t>
  </si>
  <si>
    <t xml:space="preserve">               2210 Payroll-related Liabilities</t>
  </si>
  <si>
    <t xml:space="preserve">                  2211 Accrued Salaries and Taxes</t>
  </si>
  <si>
    <t xml:space="preserve">                  2213 Healthcare</t>
  </si>
  <si>
    <t xml:space="preserve">                  2215 Retirement</t>
  </si>
  <si>
    <t xml:space="preserve">                  2216 Employee Deductions</t>
  </si>
  <si>
    <t xml:space="preserve">               Total 2210 Payroll-related Liabilities</t>
  </si>
  <si>
    <t xml:space="preserve">               2220 Advance Collections</t>
  </si>
  <si>
    <t xml:space="preserve">                  2223 Other Advance Collections</t>
  </si>
  <si>
    <t xml:space="preserve">               Total 2220 Advance Collections</t>
  </si>
  <si>
    <t xml:space="preserve">               2230 Deferred Revenue</t>
  </si>
  <si>
    <t xml:space="preserve">                  2231 Deferred Tuition Revenue</t>
  </si>
  <si>
    <t xml:space="preserve">                  2233 Deferred Revenue-Registration/Curriculum</t>
  </si>
  <si>
    <t xml:space="preserve">               Total 2230 Deferred Revenue</t>
  </si>
  <si>
    <t xml:space="preserve">               2270 Other</t>
  </si>
  <si>
    <t xml:space="preserve">               2273 N/P - S/T Portions</t>
  </si>
  <si>
    <t xml:space="preserve">               2275 Capital Leases - S/T Portions</t>
  </si>
  <si>
    <t xml:space="preserve">            Total 2200 Other Current Liabilities</t>
  </si>
  <si>
    <t xml:space="preserve">            2280 Due to/from Church</t>
  </si>
  <si>
    <t xml:space="preserve">         Total Other Current Liabilities</t>
  </si>
  <si>
    <t xml:space="preserve">      Total Current Liabilities</t>
  </si>
  <si>
    <t xml:space="preserve">      Long-Term Liabilities</t>
  </si>
  <si>
    <t xml:space="preserve">         2500 Long Term Liabilities</t>
  </si>
  <si>
    <t xml:space="preserve">            2510 Notes Payable</t>
  </si>
  <si>
    <t xml:space="preserve">               2511 Prepaid Loan Fees - 5/3rd Bank</t>
  </si>
  <si>
    <t xml:space="preserve">               2513 Other Long Term Liabilities</t>
  </si>
  <si>
    <t xml:space="preserve">               2515 Blue Hole Road Complex</t>
  </si>
  <si>
    <t xml:space="preserve">               2517 SBA PPP Loan Payable</t>
  </si>
  <si>
    <t xml:space="preserve">            Total 2510 Notes Payable</t>
  </si>
  <si>
    <t xml:space="preserve">            2540 Capital Leases</t>
  </si>
  <si>
    <t xml:space="preserve">               2541 Capital Lease</t>
  </si>
  <si>
    <t xml:space="preserve">            Total 2540 Capital Leases</t>
  </si>
  <si>
    <t xml:space="preserve">         Total 2500 Long Term Liabilities</t>
  </si>
  <si>
    <t xml:space="preserve">      Total Long-Term Liabilities</t>
  </si>
  <si>
    <t xml:space="preserve">   Total Liabilities</t>
  </si>
  <si>
    <t xml:space="preserve">   Equity</t>
  </si>
  <si>
    <t xml:space="preserve">      3000 Retained Earnings</t>
  </si>
  <si>
    <t xml:space="preserve">      3001 Net Assets With Donor Restrictions</t>
  </si>
  <si>
    <t xml:space="preserve">      3005 Net Assets Without Donor Restrictions</t>
  </si>
  <si>
    <t xml:space="preserve">      3007 Net Assets-Suspense</t>
  </si>
  <si>
    <t xml:space="preserve">      3010 Opening Balance Equity</t>
  </si>
  <si>
    <t xml:space="preserve">      Net Income</t>
  </si>
  <si>
    <t xml:space="preserve">   Total Equity</t>
  </si>
  <si>
    <t>TOTAL LIABILITIES AND EQUITY</t>
  </si>
  <si>
    <t>Monday, Jan 11, 2021 01:14:17 PM GMT-8 - Accrual Basis</t>
  </si>
  <si>
    <t>Statement of Cash Flows</t>
  </si>
  <si>
    <t>OPERATING ACTIVITIES</t>
  </si>
  <si>
    <t xml:space="preserve">   Net Income</t>
  </si>
  <si>
    <t xml:space="preserve">   Adjustments to reconcile Net Income to Net Cash provided by operations:</t>
  </si>
  <si>
    <t xml:space="preserve">      1200 Accounts Recivable</t>
  </si>
  <si>
    <t xml:space="preserve">      1303 Other Current Assets:Prepaid Expenses</t>
  </si>
  <si>
    <t xml:space="preserve">      1421 Fixed Assets:Accumulated Depreciation-F/A</t>
  </si>
  <si>
    <t xml:space="preserve">      1423 Fixed Assets:Accumulated Amortization-L/I</t>
  </si>
  <si>
    <t xml:space="preserve">      Fixed Assets:1422 - Accumulated Deprecation - Vehicles</t>
  </si>
  <si>
    <t xml:space="preserve">      Fixed Assets:1424 - Accumulated Depreciation - Blue Hole Rd Complex</t>
  </si>
  <si>
    <t xml:space="preserve">      Fixed Assets:1425 - Accumulated Depreciation - 9 Tusculum Rd</t>
  </si>
  <si>
    <t xml:space="preserve">      Fixed Assets:1426 - Accumulated Depreciation - Athletic Complex</t>
  </si>
  <si>
    <t xml:space="preserve">      Fixed Assets:1427 - Accumulated Depreciation - Capital Lease Asset</t>
  </si>
  <si>
    <t xml:space="preserve">      2000 Accounts Payable</t>
  </si>
  <si>
    <t xml:space="preserve">      2203 Other Current Liabilities:Accrued Payables</t>
  </si>
  <si>
    <t xml:space="preserve">      2211 Other Current Liabilities:Payroll-related Liabilities:Accrued Salaries and Taxes</t>
  </si>
  <si>
    <t xml:space="preserve">      2213 Other Current Liabilities:Payroll-related Liabilities:Healthcare</t>
  </si>
  <si>
    <t xml:space="preserve">      2215 Other Current Liabilities:Payroll-related Liabilities:Retirement</t>
  </si>
  <si>
    <t xml:space="preserve">      2216 Other Current Liabilities:Payroll-related Liabilities:Employee Deductions</t>
  </si>
  <si>
    <t xml:space="preserve">      2231 Other Current Liabilities:Deferred Revenue:Deferred Tuition Revenue</t>
  </si>
  <si>
    <t xml:space="preserve">      2233 Other Current Liabilities:Deferred Revenue:Deferred Revenue-Registration/Curriculum</t>
  </si>
  <si>
    <t xml:space="preserve">      2270 Other Current Liabilities:Other</t>
  </si>
  <si>
    <t xml:space="preserve">      2273 Other Current Liabilities:N/P - S/T Portions</t>
  </si>
  <si>
    <t xml:space="preserve">      2275 Other Current Liabilities:Capital Leases - S/T Portions</t>
  </si>
  <si>
    <t xml:space="preserve">      2280 Due to/from Church</t>
  </si>
  <si>
    <t xml:space="preserve">   Total Adjustments to reconcile Net Income to Net Cash provided by operations:</t>
  </si>
  <si>
    <t>Net cash provided by operating activities</t>
  </si>
  <si>
    <t>INVESTING ACTIVITIES</t>
  </si>
  <si>
    <t xml:space="preserve">   1401 Fixed Assets:Fixed Assets - Depreciable</t>
  </si>
  <si>
    <t xml:space="preserve">   Fixed Assets:1410 Fixed Assets - Vehicles</t>
  </si>
  <si>
    <t xml:space="preserve">   Fixed Assets:1420 - Preschool- 9 Tusculum Rd</t>
  </si>
  <si>
    <t xml:space="preserve">   1600 Capital Lease Asset</t>
  </si>
  <si>
    <t>Net cash provided by investing activities</t>
  </si>
  <si>
    <t>FINANCING ACTIVITIES</t>
  </si>
  <si>
    <t xml:space="preserve">   2513 Long Term Liabilities:Notes Payable:Other Long Term Liabilities</t>
  </si>
  <si>
    <t xml:space="preserve">   2515 Long Term Liabilities:Notes Payable:Blue Hole Road Complex</t>
  </si>
  <si>
    <t xml:space="preserve">   2541 Long Term Liabilities:Capital Leases:Capital Lease</t>
  </si>
  <si>
    <t>Net cash provided by financing activities</t>
  </si>
  <si>
    <t>Net cash increase for period</t>
  </si>
  <si>
    <t>Cash at beginning of period</t>
  </si>
  <si>
    <t>Cash at end of period</t>
  </si>
  <si>
    <t>Monday, Jan 11, 2021 01:16:31 PM GMT-8</t>
  </si>
  <si>
    <t>2019-2020 School Year</t>
  </si>
  <si>
    <t>Curriculum Fee</t>
  </si>
  <si>
    <t>Tuition</t>
  </si>
  <si>
    <t>2019-2020 School Year Total</t>
  </si>
  <si>
    <t>2020-2021 School Year</t>
  </si>
  <si>
    <t>Tuition - Elem</t>
  </si>
  <si>
    <t>Tuition - HS</t>
  </si>
  <si>
    <t>Tuition - MS</t>
  </si>
  <si>
    <t>Prior Year Balance</t>
  </si>
  <si>
    <t>Activity Fee</t>
  </si>
  <si>
    <t>Online Classes - 12th Grade</t>
  </si>
  <si>
    <t>Online Classes - 11th Grade</t>
  </si>
  <si>
    <t>Online Classes - 10th Grade</t>
  </si>
  <si>
    <t>2020-2021 School Year Total</t>
  </si>
  <si>
    <t>FACTS AR Total</t>
  </si>
  <si>
    <t>Account</t>
  </si>
  <si>
    <t>Current Amount Due</t>
  </si>
  <si>
    <t>Current Credit Balance</t>
  </si>
  <si>
    <t>1-30 Days</t>
  </si>
  <si>
    <t>31-60 Days</t>
  </si>
  <si>
    <t>61-90 Days</t>
  </si>
  <si>
    <t>91+ Days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</si>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</sst>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\ _€"/>
    <numFmt numFmtId="165" formatCode="&quot;$&quot;* #,##0.00\ _€"/>
  </numFmts>
  <fonts count="8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165" fontId="2" fillId="0" borderId="2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43" fontId="0" fillId="0" borderId="0" xfId="1" applyFont="1"/>
    <xf numFmtId="43" fontId="7" fillId="0" borderId="0" xfId="1" applyFont="1"/>
    <xf numFmtId="43" fontId="7" fillId="0" borderId="0" xfId="1" applyFont="1" applyFill="1"/>
    <xf numFmtId="43" fontId="0" fillId="0" borderId="0" xfId="1" applyFont="1" applyFill="1"/>
    <xf numFmtId="0" fontId="4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64" fontId="3" fillId="0" borderId="0" xfId="0" applyNumberFormat="1" applyFont="1" applyFill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F7118-D90C-45C6-B603-F61F50635720}">
  <dimension ref="A1:G158"/>
  <sheetViews>
    <sheetView tabSelected="1" workbookViewId="0">
      <selection sqref="A1:G1"/>
    </sheetView>
  </sheetViews>
  <sheetFormatPr defaultRowHeight="15" x14ac:dyDescent="0.25"/>
  <cols>
    <col min="1" max="1" width="42.140625" customWidth="1"/>
    <col min="2" max="5" width="10.28515625" customWidth="1"/>
    <col min="6" max="6" width="11.140625" customWidth="1"/>
    <col min="7" max="7" width="12" customWidth="1"/>
  </cols>
  <sheetData>
    <row r="1" spans="1:7" ht="18" x14ac:dyDescent="0.25">
      <c r="A1" s="16" t="s">
        <v>147</v>
      </c>
      <c r="B1" s="17"/>
      <c r="C1" s="17"/>
      <c r="D1" s="17"/>
      <c r="E1" s="17"/>
      <c r="F1" s="17"/>
      <c r="G1" s="17"/>
    </row>
    <row r="2" spans="1:7" ht="18" x14ac:dyDescent="0.25">
      <c r="A2" s="16" t="s">
        <v>184</v>
      </c>
      <c r="B2" s="17"/>
      <c r="C2" s="17"/>
      <c r="D2" s="17"/>
      <c r="E2" s="17"/>
      <c r="F2" s="17"/>
      <c r="G2" s="17"/>
    </row>
    <row r="3" spans="1:7" x14ac:dyDescent="0.25">
      <c r="A3" s="18" t="s">
        <v>185</v>
      </c>
      <c r="B3" s="17"/>
      <c r="C3" s="17"/>
      <c r="D3" s="17"/>
      <c r="E3" s="17"/>
      <c r="F3" s="17"/>
      <c r="G3" s="17"/>
    </row>
    <row r="5" spans="1:7" x14ac:dyDescent="0.25">
      <c r="A5" s="1"/>
      <c r="B5" s="2" t="s">
        <v>186</v>
      </c>
      <c r="C5" s="2" t="s">
        <v>187</v>
      </c>
      <c r="D5" s="2" t="s">
        <v>188</v>
      </c>
      <c r="E5" s="2" t="s">
        <v>189</v>
      </c>
      <c r="F5" s="2" t="s">
        <v>190</v>
      </c>
      <c r="G5" s="2" t="s">
        <v>156</v>
      </c>
    </row>
    <row r="6" spans="1:7" x14ac:dyDescent="0.25">
      <c r="A6" s="3" t="s">
        <v>191</v>
      </c>
      <c r="B6" s="5"/>
      <c r="C6" s="5"/>
      <c r="D6" s="5"/>
      <c r="E6" s="5"/>
      <c r="F6" s="5"/>
      <c r="G6" s="5"/>
    </row>
    <row r="7" spans="1:7" x14ac:dyDescent="0.25">
      <c r="A7" s="3" t="s">
        <v>192</v>
      </c>
      <c r="B7" s="5"/>
      <c r="C7" s="5"/>
      <c r="D7" s="5"/>
      <c r="E7" s="5"/>
      <c r="F7" s="5"/>
      <c r="G7" s="4">
        <f t="shared" ref="G7:G50" si="0">((((B7)+(C7))+(D7))+(E7))+(F7)</f>
        <v>0</v>
      </c>
    </row>
    <row r="8" spans="1:7" x14ac:dyDescent="0.25">
      <c r="A8" s="3" t="s">
        <v>193</v>
      </c>
      <c r="B8" s="4">
        <f>210319.07</f>
        <v>210319.07</v>
      </c>
      <c r="C8" s="4">
        <f>213377.96</f>
        <v>213377.96</v>
      </c>
      <c r="D8" s="4">
        <f>210464.16</f>
        <v>210464.16</v>
      </c>
      <c r="E8" s="4">
        <f>207259</f>
        <v>207259</v>
      </c>
      <c r="F8" s="4">
        <f>208467.3</f>
        <v>208467.3</v>
      </c>
      <c r="G8" s="4">
        <f t="shared" si="0"/>
        <v>1049887.49</v>
      </c>
    </row>
    <row r="9" spans="1:7" x14ac:dyDescent="0.25">
      <c r="A9" s="3" t="s">
        <v>194</v>
      </c>
      <c r="B9" s="5"/>
      <c r="C9" s="5"/>
      <c r="D9" s="5"/>
      <c r="E9" s="5"/>
      <c r="F9" s="5"/>
      <c r="G9" s="4">
        <f t="shared" si="0"/>
        <v>0</v>
      </c>
    </row>
    <row r="10" spans="1:7" x14ac:dyDescent="0.25">
      <c r="A10" s="3" t="s">
        <v>195</v>
      </c>
      <c r="B10" s="4">
        <f>-1245</f>
        <v>-1245</v>
      </c>
      <c r="C10" s="4">
        <f>-1245</f>
        <v>-1245</v>
      </c>
      <c r="D10" s="4">
        <f>-1245</f>
        <v>-1245</v>
      </c>
      <c r="E10" s="4">
        <f>-1245</f>
        <v>-1245</v>
      </c>
      <c r="F10" s="4">
        <f>-1245</f>
        <v>-1245</v>
      </c>
      <c r="G10" s="4">
        <f t="shared" si="0"/>
        <v>-6225</v>
      </c>
    </row>
    <row r="11" spans="1:7" x14ac:dyDescent="0.25">
      <c r="A11" s="3" t="s">
        <v>196</v>
      </c>
      <c r="B11" s="4">
        <f>-2100</f>
        <v>-2100</v>
      </c>
      <c r="C11" s="4">
        <f>-2100</f>
        <v>-2100</v>
      </c>
      <c r="D11" s="4">
        <f>-2100</f>
        <v>-2100</v>
      </c>
      <c r="E11" s="4">
        <f>-2100</f>
        <v>-2100</v>
      </c>
      <c r="F11" s="4">
        <f>-2100</f>
        <v>-2100</v>
      </c>
      <c r="G11" s="4">
        <f t="shared" si="0"/>
        <v>-10500</v>
      </c>
    </row>
    <row r="12" spans="1:7" x14ac:dyDescent="0.25">
      <c r="A12" s="3" t="s">
        <v>197</v>
      </c>
      <c r="B12" s="4">
        <f>-10772.3</f>
        <v>-10772.3</v>
      </c>
      <c r="C12" s="4">
        <f>-10772.3</f>
        <v>-10772.3</v>
      </c>
      <c r="D12" s="4">
        <f>-10772.3</f>
        <v>-10772.3</v>
      </c>
      <c r="E12" s="4">
        <f>-10772.3</f>
        <v>-10772.3</v>
      </c>
      <c r="F12" s="4">
        <f>-10772.3</f>
        <v>-10772.3</v>
      </c>
      <c r="G12" s="4">
        <f t="shared" si="0"/>
        <v>-53861.5</v>
      </c>
    </row>
    <row r="13" spans="1:7" x14ac:dyDescent="0.25">
      <c r="A13" s="3" t="s">
        <v>198</v>
      </c>
      <c r="B13" s="4">
        <f>-4298</f>
        <v>-4298</v>
      </c>
      <c r="C13" s="4">
        <f>-4298</f>
        <v>-4298</v>
      </c>
      <c r="D13" s="4">
        <f>-4298</f>
        <v>-4298</v>
      </c>
      <c r="E13" s="4">
        <f>-4298</f>
        <v>-4298</v>
      </c>
      <c r="F13" s="4">
        <f>-4298</f>
        <v>-4298</v>
      </c>
      <c r="G13" s="4">
        <f t="shared" si="0"/>
        <v>-21490</v>
      </c>
    </row>
    <row r="14" spans="1:7" x14ac:dyDescent="0.25">
      <c r="A14" s="3" t="s">
        <v>199</v>
      </c>
      <c r="B14" s="4">
        <f>-3537.45</f>
        <v>-3537.45</v>
      </c>
      <c r="C14" s="4">
        <f>-3537.45</f>
        <v>-3537.45</v>
      </c>
      <c r="D14" s="4">
        <f>-3537.45</f>
        <v>-3537.45</v>
      </c>
      <c r="E14" s="4">
        <f>-3537.45</f>
        <v>-3537.45</v>
      </c>
      <c r="F14" s="4">
        <f>-3537.45</f>
        <v>-3537.45</v>
      </c>
      <c r="G14" s="4">
        <f t="shared" si="0"/>
        <v>-17687.25</v>
      </c>
    </row>
    <row r="15" spans="1:7" x14ac:dyDescent="0.25">
      <c r="A15" s="3" t="s">
        <v>200</v>
      </c>
      <c r="B15" s="4">
        <f>-2098.4</f>
        <v>-2098.4</v>
      </c>
      <c r="C15" s="4">
        <f>-2098.4</f>
        <v>-2098.4</v>
      </c>
      <c r="D15" s="4">
        <f>-2098.4</f>
        <v>-2098.4</v>
      </c>
      <c r="E15" s="4">
        <f>-2098.4</f>
        <v>-2098.4</v>
      </c>
      <c r="F15" s="4">
        <f>-2098.4</f>
        <v>-2098.4</v>
      </c>
      <c r="G15" s="4">
        <f t="shared" si="0"/>
        <v>-10492</v>
      </c>
    </row>
    <row r="16" spans="1:7" x14ac:dyDescent="0.25">
      <c r="A16" s="3" t="s">
        <v>201</v>
      </c>
      <c r="B16" s="4">
        <f>-1402.5</f>
        <v>-1402.5</v>
      </c>
      <c r="C16" s="4">
        <f>-1402.5</f>
        <v>-1402.5</v>
      </c>
      <c r="D16" s="4">
        <f>-1402.5</f>
        <v>-1402.5</v>
      </c>
      <c r="E16" s="4">
        <f>-1402.5</f>
        <v>-1402.5</v>
      </c>
      <c r="F16" s="4">
        <f>-1402.5</f>
        <v>-1402.5</v>
      </c>
      <c r="G16" s="4">
        <f t="shared" si="0"/>
        <v>-7012.5</v>
      </c>
    </row>
    <row r="17" spans="1:7" x14ac:dyDescent="0.25">
      <c r="A17" s="3" t="s">
        <v>202</v>
      </c>
      <c r="B17" s="4">
        <f>-1361.69</f>
        <v>-1361.69</v>
      </c>
      <c r="C17" s="4">
        <f>-1361.69</f>
        <v>-1361.69</v>
      </c>
      <c r="D17" s="4">
        <f>-1361.69</f>
        <v>-1361.69</v>
      </c>
      <c r="E17" s="4">
        <f>-1361.69</f>
        <v>-1361.69</v>
      </c>
      <c r="F17" s="4">
        <f>-1361.69</f>
        <v>-1361.69</v>
      </c>
      <c r="G17" s="4">
        <f t="shared" si="0"/>
        <v>-6808.4500000000007</v>
      </c>
    </row>
    <row r="18" spans="1:7" x14ac:dyDescent="0.25">
      <c r="A18" s="3" t="s">
        <v>203</v>
      </c>
      <c r="B18" s="4">
        <f>-34.98</f>
        <v>-34.979999999999997</v>
      </c>
      <c r="C18" s="4">
        <f>-34.98</f>
        <v>-34.979999999999997</v>
      </c>
      <c r="D18" s="4">
        <f>-34.98</f>
        <v>-34.979999999999997</v>
      </c>
      <c r="E18" s="4">
        <f>-34.98</f>
        <v>-34.979999999999997</v>
      </c>
      <c r="F18" s="4">
        <f>-34.98</f>
        <v>-34.979999999999997</v>
      </c>
      <c r="G18" s="4">
        <f t="shared" si="0"/>
        <v>-174.89999999999998</v>
      </c>
    </row>
    <row r="19" spans="1:7" x14ac:dyDescent="0.25">
      <c r="A19" s="3" t="s">
        <v>204</v>
      </c>
      <c r="B19" s="4">
        <f>-5561.56</f>
        <v>-5561.56</v>
      </c>
      <c r="C19" s="4">
        <f>-5876.56</f>
        <v>-5876.56</v>
      </c>
      <c r="D19" s="4">
        <f>-5561.56</f>
        <v>-5561.56</v>
      </c>
      <c r="E19" s="4">
        <f>-5561.56</f>
        <v>-5561.56</v>
      </c>
      <c r="F19" s="4">
        <f>-5561.56</f>
        <v>-5561.56</v>
      </c>
      <c r="G19" s="4">
        <f t="shared" si="0"/>
        <v>-28122.800000000003</v>
      </c>
    </row>
    <row r="20" spans="1:7" x14ac:dyDescent="0.25">
      <c r="A20" s="3" t="s">
        <v>205</v>
      </c>
      <c r="B20" s="4">
        <f>-69.95</f>
        <v>-69.95</v>
      </c>
      <c r="C20" s="4">
        <f>-69.95</f>
        <v>-69.95</v>
      </c>
      <c r="D20" s="4">
        <f>-69.95</f>
        <v>-69.95</v>
      </c>
      <c r="E20" s="4">
        <f>-69.95</f>
        <v>-69.95</v>
      </c>
      <c r="F20" s="4">
        <f>-69.95</f>
        <v>-69.95</v>
      </c>
      <c r="G20" s="4">
        <f t="shared" si="0"/>
        <v>-349.75</v>
      </c>
    </row>
    <row r="21" spans="1:7" x14ac:dyDescent="0.25">
      <c r="A21" s="3" t="s">
        <v>206</v>
      </c>
      <c r="B21" s="6">
        <f>(((((((((((B9)+(B10))+(B11))+(B12))+(B13))+(B14))+(B15))+(B16))+(B17))+(B18))+(B19))+(B20)</f>
        <v>-32481.83</v>
      </c>
      <c r="C21" s="6">
        <f>(((((((((((C9)+(C10))+(C11))+(C12))+(C13))+(C14))+(C15))+(C16))+(C17))+(C18))+(C19))+(C20)</f>
        <v>-32796.83</v>
      </c>
      <c r="D21" s="6">
        <f>(((((((((((D9)+(D10))+(D11))+(D12))+(D13))+(D14))+(D15))+(D16))+(D17))+(D18))+(D19))+(D20)</f>
        <v>-32481.83</v>
      </c>
      <c r="E21" s="6">
        <f>(((((((((((E9)+(E10))+(E11))+(E12))+(E13))+(E14))+(E15))+(E16))+(E17))+(E18))+(E19))+(E20)</f>
        <v>-32481.83</v>
      </c>
      <c r="F21" s="6">
        <f>(((((((((((F9)+(F10))+(F11))+(F12))+(F13))+(F14))+(F15))+(F16))+(F17))+(F18))+(F19))+(F20)</f>
        <v>-32481.83</v>
      </c>
      <c r="G21" s="6">
        <f t="shared" si="0"/>
        <v>-162724.15000000002</v>
      </c>
    </row>
    <row r="22" spans="1:7" x14ac:dyDescent="0.25">
      <c r="A22" s="3" t="s">
        <v>207</v>
      </c>
      <c r="B22" s="6">
        <f>(B8)+(B21)</f>
        <v>177837.24</v>
      </c>
      <c r="C22" s="6">
        <f>(C8)+(C21)</f>
        <v>180581.13</v>
      </c>
      <c r="D22" s="6">
        <f>(D8)+(D21)</f>
        <v>177982.33000000002</v>
      </c>
      <c r="E22" s="6">
        <f>(E8)+(E21)</f>
        <v>174777.16999999998</v>
      </c>
      <c r="F22" s="6">
        <f>(F8)+(F21)</f>
        <v>175985.46999999997</v>
      </c>
      <c r="G22" s="6">
        <f t="shared" si="0"/>
        <v>887163.33999999985</v>
      </c>
    </row>
    <row r="23" spans="1:7" x14ac:dyDescent="0.25">
      <c r="A23" s="3" t="s">
        <v>208</v>
      </c>
      <c r="B23" s="4">
        <f>31064.27</f>
        <v>31064.27</v>
      </c>
      <c r="C23" s="4">
        <f>38541.21</f>
        <v>38541.21</v>
      </c>
      <c r="D23" s="4">
        <f>43554.47</f>
        <v>43554.47</v>
      </c>
      <c r="E23" s="4">
        <f>48556.11</f>
        <v>48556.11</v>
      </c>
      <c r="F23" s="4">
        <f>47823.81</f>
        <v>47823.81</v>
      </c>
      <c r="G23" s="4">
        <f t="shared" si="0"/>
        <v>209539.87</v>
      </c>
    </row>
    <row r="24" spans="1:7" x14ac:dyDescent="0.25">
      <c r="A24" s="3" t="s">
        <v>209</v>
      </c>
      <c r="B24" s="4">
        <f>704</f>
        <v>704</v>
      </c>
      <c r="C24" s="4">
        <f>215</f>
        <v>215</v>
      </c>
      <c r="D24" s="4">
        <f>1322.65</f>
        <v>1322.65</v>
      </c>
      <c r="E24" s="4">
        <f>1390.85</f>
        <v>1390.85</v>
      </c>
      <c r="F24" s="4">
        <f>512</f>
        <v>512</v>
      </c>
      <c r="G24" s="4">
        <f t="shared" si="0"/>
        <v>4144.5</v>
      </c>
    </row>
    <row r="25" spans="1:7" x14ac:dyDescent="0.25">
      <c r="A25" s="3" t="s">
        <v>210</v>
      </c>
      <c r="B25" s="4">
        <f>300</f>
        <v>300</v>
      </c>
      <c r="C25" s="5"/>
      <c r="D25" s="5"/>
      <c r="E25" s="4">
        <f>70</f>
        <v>70</v>
      </c>
      <c r="F25" s="5"/>
      <c r="G25" s="4">
        <f t="shared" si="0"/>
        <v>370</v>
      </c>
    </row>
    <row r="26" spans="1:7" x14ac:dyDescent="0.25">
      <c r="A26" s="3" t="s">
        <v>211</v>
      </c>
      <c r="B26" s="6">
        <f>((((B7)+(B22))+(B23))+(B24))+(B25)</f>
        <v>209905.50999999998</v>
      </c>
      <c r="C26" s="6">
        <f>((((C7)+(C22))+(C23))+(C24))+(C25)</f>
        <v>219337.34</v>
      </c>
      <c r="D26" s="6">
        <f>((((D7)+(D22))+(D23))+(D24))+(D25)</f>
        <v>222859.45</v>
      </c>
      <c r="E26" s="6">
        <f>((((E7)+(E22))+(E23))+(E24))+(E25)</f>
        <v>224794.12999999998</v>
      </c>
      <c r="F26" s="6">
        <f>((((F7)+(F22))+(F23))+(F24))+(F25)</f>
        <v>224321.27999999997</v>
      </c>
      <c r="G26" s="6">
        <f t="shared" si="0"/>
        <v>1101217.71</v>
      </c>
    </row>
    <row r="27" spans="1:7" x14ac:dyDescent="0.25">
      <c r="A27" s="3" t="s">
        <v>212</v>
      </c>
      <c r="B27" s="5"/>
      <c r="C27" s="5"/>
      <c r="D27" s="5"/>
      <c r="E27" s="5"/>
      <c r="F27" s="5"/>
      <c r="G27" s="4">
        <f t="shared" si="0"/>
        <v>0</v>
      </c>
    </row>
    <row r="28" spans="1:7" x14ac:dyDescent="0.25">
      <c r="A28" s="3" t="s">
        <v>213</v>
      </c>
      <c r="B28" s="4">
        <f>17356.6</f>
        <v>17356.599999999999</v>
      </c>
      <c r="C28" s="4">
        <f>17006.6</f>
        <v>17006.599999999999</v>
      </c>
      <c r="D28" s="4">
        <f>17006.6</f>
        <v>17006.599999999999</v>
      </c>
      <c r="E28" s="4">
        <f>17585.97</f>
        <v>17585.97</v>
      </c>
      <c r="F28" s="4">
        <f>17006.6</f>
        <v>17006.599999999999</v>
      </c>
      <c r="G28" s="4">
        <f t="shared" si="0"/>
        <v>85962.37</v>
      </c>
    </row>
    <row r="29" spans="1:7" x14ac:dyDescent="0.25">
      <c r="A29" s="3" t="s">
        <v>214</v>
      </c>
      <c r="B29" s="5"/>
      <c r="C29" s="5"/>
      <c r="D29" s="5"/>
      <c r="E29" s="4">
        <f>40</f>
        <v>40</v>
      </c>
      <c r="F29" s="5"/>
      <c r="G29" s="4">
        <f t="shared" si="0"/>
        <v>40</v>
      </c>
    </row>
    <row r="30" spans="1:7" x14ac:dyDescent="0.25">
      <c r="A30" s="3" t="s">
        <v>215</v>
      </c>
      <c r="B30" s="4">
        <f>14647.5</f>
        <v>14647.5</v>
      </c>
      <c r="C30" s="4">
        <f>9953.9</f>
        <v>9953.9</v>
      </c>
      <c r="D30" s="4">
        <f>5927.41</f>
        <v>5927.41</v>
      </c>
      <c r="E30" s="4">
        <f>5382.95</f>
        <v>5382.95</v>
      </c>
      <c r="F30" s="4">
        <f>5294.22</f>
        <v>5294.22</v>
      </c>
      <c r="G30" s="4">
        <f t="shared" si="0"/>
        <v>41205.980000000003</v>
      </c>
    </row>
    <row r="31" spans="1:7" x14ac:dyDescent="0.25">
      <c r="A31" s="3" t="s">
        <v>216</v>
      </c>
      <c r="B31" s="6">
        <f>(((B27)+(B28))+(B29))+(B30)</f>
        <v>32004.1</v>
      </c>
      <c r="C31" s="6">
        <f>(((C27)+(C28))+(C29))+(C30)</f>
        <v>26960.5</v>
      </c>
      <c r="D31" s="6">
        <f>(((D27)+(D28))+(D29))+(D30)</f>
        <v>22934.01</v>
      </c>
      <c r="E31" s="6">
        <f>(((E27)+(E28))+(E29))+(E30)</f>
        <v>23008.920000000002</v>
      </c>
      <c r="F31" s="6">
        <f>(((F27)+(F28))+(F29))+(F30)</f>
        <v>22300.82</v>
      </c>
      <c r="G31" s="6">
        <f t="shared" si="0"/>
        <v>127208.35</v>
      </c>
    </row>
    <row r="32" spans="1:7" x14ac:dyDescent="0.25">
      <c r="A32" s="3" t="s">
        <v>217</v>
      </c>
      <c r="B32" s="5"/>
      <c r="C32" s="5"/>
      <c r="D32" s="5"/>
      <c r="E32" s="5"/>
      <c r="F32" s="5"/>
      <c r="G32" s="4">
        <f t="shared" si="0"/>
        <v>0</v>
      </c>
    </row>
    <row r="33" spans="1:7" x14ac:dyDescent="0.25">
      <c r="A33" s="3" t="s">
        <v>218</v>
      </c>
      <c r="B33" s="4">
        <f>-245</f>
        <v>-245</v>
      </c>
      <c r="C33" s="4">
        <f>143</f>
        <v>143</v>
      </c>
      <c r="D33" s="5"/>
      <c r="E33" s="4">
        <f>235</f>
        <v>235</v>
      </c>
      <c r="F33" s="4">
        <f>136</f>
        <v>136</v>
      </c>
      <c r="G33" s="4">
        <f t="shared" si="0"/>
        <v>269</v>
      </c>
    </row>
    <row r="34" spans="1:7" x14ac:dyDescent="0.25">
      <c r="A34" s="3" t="s">
        <v>219</v>
      </c>
      <c r="B34" s="4">
        <f>625</f>
        <v>625</v>
      </c>
      <c r="C34" s="4">
        <f>150</f>
        <v>150</v>
      </c>
      <c r="D34" s="4">
        <f>1425</f>
        <v>1425</v>
      </c>
      <c r="E34" s="4">
        <f>1500</f>
        <v>1500</v>
      </c>
      <c r="F34" s="4">
        <f>1000</f>
        <v>1000</v>
      </c>
      <c r="G34" s="4">
        <f t="shared" si="0"/>
        <v>4700</v>
      </c>
    </row>
    <row r="35" spans="1:7" x14ac:dyDescent="0.25">
      <c r="A35" s="3" t="s">
        <v>220</v>
      </c>
      <c r="B35" s="4">
        <f>-300</f>
        <v>-300</v>
      </c>
      <c r="C35" s="4">
        <f>26</f>
        <v>26</v>
      </c>
      <c r="D35" s="5"/>
      <c r="E35" s="4">
        <f>350</f>
        <v>350</v>
      </c>
      <c r="F35" s="4">
        <f>259.73</f>
        <v>259.73</v>
      </c>
      <c r="G35" s="4">
        <f t="shared" si="0"/>
        <v>335.73</v>
      </c>
    </row>
    <row r="36" spans="1:7" x14ac:dyDescent="0.25">
      <c r="A36" s="3" t="s">
        <v>221</v>
      </c>
      <c r="B36" s="4">
        <f>875.09</f>
        <v>875.09</v>
      </c>
      <c r="C36" s="4">
        <f>24.35</f>
        <v>24.35</v>
      </c>
      <c r="D36" s="4">
        <f>41</f>
        <v>41</v>
      </c>
      <c r="E36" s="4">
        <f>-525</f>
        <v>-525</v>
      </c>
      <c r="F36" s="4">
        <f>220</f>
        <v>220</v>
      </c>
      <c r="G36" s="4">
        <f t="shared" si="0"/>
        <v>635.44000000000005</v>
      </c>
    </row>
    <row r="37" spans="1:7" x14ac:dyDescent="0.25">
      <c r="A37" s="3" t="s">
        <v>222</v>
      </c>
      <c r="B37" s="4">
        <f>11289.99</f>
        <v>11289.99</v>
      </c>
      <c r="C37" s="4">
        <f>6690</f>
        <v>6690</v>
      </c>
      <c r="D37" s="4">
        <f>3800</f>
        <v>3800</v>
      </c>
      <c r="E37" s="4">
        <f>3100</f>
        <v>3100</v>
      </c>
      <c r="F37" s="4">
        <f>2800</f>
        <v>2800</v>
      </c>
      <c r="G37" s="4">
        <f t="shared" si="0"/>
        <v>27679.989999999998</v>
      </c>
    </row>
    <row r="38" spans="1:7" x14ac:dyDescent="0.25">
      <c r="A38" s="3" t="s">
        <v>223</v>
      </c>
      <c r="B38" s="6">
        <f>(((((B32)+(B33))+(B34))+(B35))+(B36))+(B37)</f>
        <v>12245.08</v>
      </c>
      <c r="C38" s="6">
        <f>(((((C32)+(C33))+(C34))+(C35))+(C36))+(C37)</f>
        <v>7033.35</v>
      </c>
      <c r="D38" s="6">
        <f>(((((D32)+(D33))+(D34))+(D35))+(D36))+(D37)</f>
        <v>5266</v>
      </c>
      <c r="E38" s="6">
        <f>(((((E32)+(E33))+(E34))+(E35))+(E36))+(E37)</f>
        <v>4660</v>
      </c>
      <c r="F38" s="6">
        <f>(((((F32)+(F33))+(F34))+(F35))+(F36))+(F37)</f>
        <v>4415.7299999999996</v>
      </c>
      <c r="G38" s="6">
        <f t="shared" si="0"/>
        <v>33620.160000000003</v>
      </c>
    </row>
    <row r="39" spans="1:7" x14ac:dyDescent="0.25">
      <c r="A39" s="3" t="s">
        <v>224</v>
      </c>
      <c r="B39" s="5"/>
      <c r="C39" s="5"/>
      <c r="D39" s="5"/>
      <c r="E39" s="5"/>
      <c r="F39" s="5"/>
      <c r="G39" s="4">
        <f t="shared" si="0"/>
        <v>0</v>
      </c>
    </row>
    <row r="40" spans="1:7" x14ac:dyDescent="0.25">
      <c r="A40" s="3" t="s">
        <v>225</v>
      </c>
      <c r="B40" s="4">
        <f>5722.84</f>
        <v>5722.84</v>
      </c>
      <c r="C40" s="4">
        <f>12451.17</f>
        <v>12451.17</v>
      </c>
      <c r="D40" s="4">
        <f>9565.93</f>
        <v>9565.93</v>
      </c>
      <c r="E40" s="4">
        <f>5284.07</f>
        <v>5284.07</v>
      </c>
      <c r="F40" s="4">
        <f>4643.01</f>
        <v>4643.01</v>
      </c>
      <c r="G40" s="4">
        <f t="shared" si="0"/>
        <v>37667.020000000004</v>
      </c>
    </row>
    <row r="41" spans="1:7" x14ac:dyDescent="0.25">
      <c r="A41" s="3" t="s">
        <v>226</v>
      </c>
      <c r="B41" s="5"/>
      <c r="C41" s="4">
        <f>168</f>
        <v>168</v>
      </c>
      <c r="D41" s="4">
        <f>13370.63</f>
        <v>13370.63</v>
      </c>
      <c r="E41" s="4">
        <f>3590.1</f>
        <v>3590.1</v>
      </c>
      <c r="F41" s="4">
        <f>556.5</f>
        <v>556.5</v>
      </c>
      <c r="G41" s="4">
        <f t="shared" si="0"/>
        <v>17685.23</v>
      </c>
    </row>
    <row r="42" spans="1:7" x14ac:dyDescent="0.25">
      <c r="A42" s="3" t="s">
        <v>227</v>
      </c>
      <c r="B42" s="6">
        <f>((B39)+(B40))+(B41)</f>
        <v>5722.84</v>
      </c>
      <c r="C42" s="6">
        <f>((C39)+(C40))+(C41)</f>
        <v>12619.17</v>
      </c>
      <c r="D42" s="6">
        <f>((D39)+(D40))+(D41)</f>
        <v>22936.559999999998</v>
      </c>
      <c r="E42" s="6">
        <f>((E39)+(E40))+(E41)</f>
        <v>8874.17</v>
      </c>
      <c r="F42" s="6">
        <f>((F39)+(F40))+(F41)</f>
        <v>5199.51</v>
      </c>
      <c r="G42" s="6">
        <f t="shared" si="0"/>
        <v>55352.25</v>
      </c>
    </row>
    <row r="43" spans="1:7" x14ac:dyDescent="0.25">
      <c r="A43" s="3" t="s">
        <v>228</v>
      </c>
      <c r="B43" s="5"/>
      <c r="C43" s="5"/>
      <c r="D43" s="5"/>
      <c r="E43" s="5"/>
      <c r="F43" s="5"/>
      <c r="G43" s="4">
        <f t="shared" si="0"/>
        <v>0</v>
      </c>
    </row>
    <row r="44" spans="1:7" x14ac:dyDescent="0.25">
      <c r="A44" s="3" t="s">
        <v>229</v>
      </c>
      <c r="B44" s="4">
        <f>9.14</f>
        <v>9.14</v>
      </c>
      <c r="C44" s="4">
        <f>5.41</f>
        <v>5.41</v>
      </c>
      <c r="D44" s="4">
        <f>1.49</f>
        <v>1.49</v>
      </c>
      <c r="E44" s="4">
        <f>1.27</f>
        <v>1.27</v>
      </c>
      <c r="F44" s="4">
        <f>1.31</f>
        <v>1.31</v>
      </c>
      <c r="G44" s="4">
        <f t="shared" si="0"/>
        <v>18.619999999999997</v>
      </c>
    </row>
    <row r="45" spans="1:7" x14ac:dyDescent="0.25">
      <c r="A45" s="3" t="s">
        <v>230</v>
      </c>
      <c r="B45" s="4">
        <f>455</f>
        <v>455</v>
      </c>
      <c r="C45" s="4">
        <f>35</f>
        <v>35</v>
      </c>
      <c r="D45" s="4">
        <f>190</f>
        <v>190</v>
      </c>
      <c r="E45" s="4">
        <f>89</f>
        <v>89</v>
      </c>
      <c r="F45" s="4">
        <f>130</f>
        <v>130</v>
      </c>
      <c r="G45" s="4">
        <f t="shared" si="0"/>
        <v>899</v>
      </c>
    </row>
    <row r="46" spans="1:7" x14ac:dyDescent="0.25">
      <c r="A46" s="3" t="s">
        <v>231</v>
      </c>
      <c r="B46" s="4">
        <f>4000</f>
        <v>4000</v>
      </c>
      <c r="C46" s="4">
        <f>4000</f>
        <v>4000</v>
      </c>
      <c r="D46" s="4">
        <f>4000</f>
        <v>4000</v>
      </c>
      <c r="E46" s="4">
        <f>4000</f>
        <v>4000</v>
      </c>
      <c r="F46" s="4">
        <f>4000</f>
        <v>4000</v>
      </c>
      <c r="G46" s="4">
        <f t="shared" si="0"/>
        <v>20000</v>
      </c>
    </row>
    <row r="47" spans="1:7" x14ac:dyDescent="0.25">
      <c r="A47" s="3" t="s">
        <v>232</v>
      </c>
      <c r="B47" s="4">
        <f>459</f>
        <v>459</v>
      </c>
      <c r="C47" s="4">
        <f>425</f>
        <v>425</v>
      </c>
      <c r="D47" s="4">
        <f>2855.5</f>
        <v>2855.5</v>
      </c>
      <c r="E47" s="5"/>
      <c r="F47" s="5"/>
      <c r="G47" s="4">
        <f t="shared" si="0"/>
        <v>3739.5</v>
      </c>
    </row>
    <row r="48" spans="1:7" x14ac:dyDescent="0.25">
      <c r="A48" s="3" t="s">
        <v>233</v>
      </c>
      <c r="B48" s="6">
        <f>((((B43)+(B44))+(B45))+(B46))+(B47)</f>
        <v>4923.1400000000003</v>
      </c>
      <c r="C48" s="6">
        <f>((((C43)+(C44))+(C45))+(C46))+(C47)</f>
        <v>4465.41</v>
      </c>
      <c r="D48" s="6">
        <f>((((D43)+(D44))+(D45))+(D46))+(D47)</f>
        <v>7046.99</v>
      </c>
      <c r="E48" s="6">
        <f>((((E43)+(E44))+(E45))+(E46))+(E47)</f>
        <v>4090.27</v>
      </c>
      <c r="F48" s="6">
        <f>((((F43)+(F44))+(F45))+(F46))+(F47)</f>
        <v>4131.3100000000004</v>
      </c>
      <c r="G48" s="6">
        <f t="shared" si="0"/>
        <v>24657.120000000003</v>
      </c>
    </row>
    <row r="49" spans="1:7" x14ac:dyDescent="0.25">
      <c r="A49" s="3" t="s">
        <v>234</v>
      </c>
      <c r="B49" s="6">
        <f>((((B26)+(B31))+(B38))+(B42))+(B48)</f>
        <v>264800.67</v>
      </c>
      <c r="C49" s="6">
        <f>((((C26)+(C31))+(C38))+(C42))+(C48)</f>
        <v>270415.76999999996</v>
      </c>
      <c r="D49" s="6">
        <f>((((D26)+(D31))+(D38))+(D42))+(D48)</f>
        <v>281043.01</v>
      </c>
      <c r="E49" s="6">
        <f>((((E26)+(E31))+(E38))+(E42))+(E48)</f>
        <v>265427.49</v>
      </c>
      <c r="F49" s="6">
        <f>((((F26)+(F31))+(F38))+(F42))+(F48)</f>
        <v>260368.65</v>
      </c>
      <c r="G49" s="6">
        <f t="shared" si="0"/>
        <v>1342055.5899999999</v>
      </c>
    </row>
    <row r="50" spans="1:7" x14ac:dyDescent="0.25">
      <c r="A50" s="3" t="s">
        <v>235</v>
      </c>
      <c r="B50" s="6">
        <f>(B49)-(0)</f>
        <v>264800.67</v>
      </c>
      <c r="C50" s="6">
        <f>(C49)-(0)</f>
        <v>270415.76999999996</v>
      </c>
      <c r="D50" s="6">
        <f>(D49)-(0)</f>
        <v>281043.01</v>
      </c>
      <c r="E50" s="6">
        <f>(E49)-(0)</f>
        <v>265427.49</v>
      </c>
      <c r="F50" s="6">
        <f>(F49)-(0)</f>
        <v>260368.65</v>
      </c>
      <c r="G50" s="6">
        <f t="shared" si="0"/>
        <v>1342055.5899999999</v>
      </c>
    </row>
    <row r="51" spans="1:7" x14ac:dyDescent="0.25">
      <c r="A51" s="3" t="s">
        <v>236</v>
      </c>
      <c r="B51" s="5"/>
      <c r="C51" s="5"/>
      <c r="D51" s="5"/>
      <c r="E51" s="5"/>
      <c r="F51" s="5"/>
      <c r="G51" s="5"/>
    </row>
    <row r="52" spans="1:7" x14ac:dyDescent="0.25">
      <c r="A52" s="3" t="s">
        <v>237</v>
      </c>
      <c r="B52" s="5"/>
      <c r="C52" s="5"/>
      <c r="D52" s="5"/>
      <c r="E52" s="5"/>
      <c r="F52" s="5"/>
      <c r="G52" s="4">
        <f t="shared" ref="G52:G115" si="1">((((B52)+(C52))+(D52))+(E52))+(F52)</f>
        <v>0</v>
      </c>
    </row>
    <row r="53" spans="1:7" x14ac:dyDescent="0.25">
      <c r="A53" s="3" t="s">
        <v>238</v>
      </c>
      <c r="B53" s="5"/>
      <c r="C53" s="5"/>
      <c r="D53" s="5"/>
      <c r="E53" s="5"/>
      <c r="F53" s="5"/>
      <c r="G53" s="4">
        <f t="shared" si="1"/>
        <v>0</v>
      </c>
    </row>
    <row r="54" spans="1:7" x14ac:dyDescent="0.25">
      <c r="A54" s="3" t="s">
        <v>239</v>
      </c>
      <c r="B54" s="4">
        <f>85188.44</f>
        <v>85188.44</v>
      </c>
      <c r="C54" s="4">
        <f>86908.74</f>
        <v>86908.74</v>
      </c>
      <c r="D54" s="4">
        <f>91357.01</f>
        <v>91357.01</v>
      </c>
      <c r="E54" s="4">
        <f>87805.4</f>
        <v>87805.4</v>
      </c>
      <c r="F54" s="4">
        <f>136848.65</f>
        <v>136848.65</v>
      </c>
      <c r="G54" s="4">
        <f t="shared" si="1"/>
        <v>488108.24</v>
      </c>
    </row>
    <row r="55" spans="1:7" x14ac:dyDescent="0.25">
      <c r="A55" s="3" t="s">
        <v>240</v>
      </c>
      <c r="B55" s="4">
        <f>575</f>
        <v>575</v>
      </c>
      <c r="C55" s="4">
        <f>6983.26</f>
        <v>6983.26</v>
      </c>
      <c r="D55" s="4">
        <f>13721.52</f>
        <v>13721.52</v>
      </c>
      <c r="E55" s="4">
        <f>10309.72</f>
        <v>10309.719999999999</v>
      </c>
      <c r="F55" s="4">
        <f>12151.32</f>
        <v>12151.32</v>
      </c>
      <c r="G55" s="4">
        <f t="shared" si="1"/>
        <v>43740.82</v>
      </c>
    </row>
    <row r="56" spans="1:7" x14ac:dyDescent="0.25">
      <c r="A56" s="3" t="s">
        <v>241</v>
      </c>
      <c r="B56" s="6">
        <f>((B53)+(B54))+(B55)</f>
        <v>85763.44</v>
      </c>
      <c r="C56" s="6">
        <f>((C53)+(C54))+(C55)</f>
        <v>93892</v>
      </c>
      <c r="D56" s="6">
        <f>((D53)+(D54))+(D55)</f>
        <v>105078.53</v>
      </c>
      <c r="E56" s="6">
        <f>((E53)+(E54))+(E55)</f>
        <v>98115.12</v>
      </c>
      <c r="F56" s="6">
        <f>((F53)+(F54))+(F55)</f>
        <v>148999.97</v>
      </c>
      <c r="G56" s="6">
        <f t="shared" si="1"/>
        <v>531849.05999999994</v>
      </c>
    </row>
    <row r="57" spans="1:7" x14ac:dyDescent="0.25">
      <c r="A57" s="3" t="s">
        <v>242</v>
      </c>
      <c r="B57" s="5"/>
      <c r="C57" s="5"/>
      <c r="D57" s="5"/>
      <c r="E57" s="5"/>
      <c r="F57" s="5"/>
      <c r="G57" s="4">
        <f t="shared" si="1"/>
        <v>0</v>
      </c>
    </row>
    <row r="58" spans="1:7" x14ac:dyDescent="0.25">
      <c r="A58" s="3" t="s">
        <v>243</v>
      </c>
      <c r="B58" s="4">
        <f>53380.12</f>
        <v>53380.12</v>
      </c>
      <c r="C58" s="4">
        <f>51156.35</f>
        <v>51156.35</v>
      </c>
      <c r="D58" s="4">
        <f>42481.05</f>
        <v>42481.05</v>
      </c>
      <c r="E58" s="4">
        <f>43995.62</f>
        <v>43995.62</v>
      </c>
      <c r="F58" s="4">
        <f>68004.13</f>
        <v>68004.13</v>
      </c>
      <c r="G58" s="4">
        <f t="shared" si="1"/>
        <v>259017.27000000002</v>
      </c>
    </row>
    <row r="59" spans="1:7" x14ac:dyDescent="0.25">
      <c r="A59" s="3" t="s">
        <v>244</v>
      </c>
      <c r="B59" s="6">
        <f>(B57)+(B58)</f>
        <v>53380.12</v>
      </c>
      <c r="C59" s="6">
        <f>(C57)+(C58)</f>
        <v>51156.35</v>
      </c>
      <c r="D59" s="6">
        <f>(D57)+(D58)</f>
        <v>42481.05</v>
      </c>
      <c r="E59" s="6">
        <f>(E57)+(E58)</f>
        <v>43995.62</v>
      </c>
      <c r="F59" s="6">
        <f>(F57)+(F58)</f>
        <v>68004.13</v>
      </c>
      <c r="G59" s="6">
        <f t="shared" si="1"/>
        <v>259017.27000000002</v>
      </c>
    </row>
    <row r="60" spans="1:7" x14ac:dyDescent="0.25">
      <c r="A60" s="3" t="s">
        <v>245</v>
      </c>
      <c r="B60" s="5"/>
      <c r="C60" s="5"/>
      <c r="D60" s="5"/>
      <c r="E60" s="5"/>
      <c r="F60" s="5"/>
      <c r="G60" s="4">
        <f t="shared" si="1"/>
        <v>0</v>
      </c>
    </row>
    <row r="61" spans="1:7" x14ac:dyDescent="0.25">
      <c r="A61" s="3" t="s">
        <v>246</v>
      </c>
      <c r="B61" s="4">
        <f>3564.48</f>
        <v>3564.48</v>
      </c>
      <c r="C61" s="4">
        <f>2280</f>
        <v>2280</v>
      </c>
      <c r="D61" s="4">
        <f>2400</f>
        <v>2400</v>
      </c>
      <c r="E61" s="4">
        <f>2400</f>
        <v>2400</v>
      </c>
      <c r="F61" s="4">
        <f>3600</f>
        <v>3600</v>
      </c>
      <c r="G61" s="4">
        <f t="shared" si="1"/>
        <v>14244.48</v>
      </c>
    </row>
    <row r="62" spans="1:7" x14ac:dyDescent="0.25">
      <c r="A62" s="3" t="s">
        <v>247</v>
      </c>
      <c r="B62" s="6">
        <f>(B60)+(B61)</f>
        <v>3564.48</v>
      </c>
      <c r="C62" s="6">
        <f>(C60)+(C61)</f>
        <v>2280</v>
      </c>
      <c r="D62" s="6">
        <f>(D60)+(D61)</f>
        <v>2400</v>
      </c>
      <c r="E62" s="6">
        <f>(E60)+(E61)</f>
        <v>2400</v>
      </c>
      <c r="F62" s="6">
        <f>(F60)+(F61)</f>
        <v>3600</v>
      </c>
      <c r="G62" s="6">
        <f t="shared" si="1"/>
        <v>14244.48</v>
      </c>
    </row>
    <row r="63" spans="1:7" x14ac:dyDescent="0.25">
      <c r="A63" s="3" t="s">
        <v>248</v>
      </c>
      <c r="B63" s="4">
        <f>2000</f>
        <v>2000</v>
      </c>
      <c r="C63" s="5"/>
      <c r="D63" s="5"/>
      <c r="E63" s="4">
        <f>400</f>
        <v>400</v>
      </c>
      <c r="F63" s="4">
        <f>250</f>
        <v>250</v>
      </c>
      <c r="G63" s="4">
        <f t="shared" si="1"/>
        <v>2650</v>
      </c>
    </row>
    <row r="64" spans="1:7" x14ac:dyDescent="0.25">
      <c r="A64" s="3" t="s">
        <v>249</v>
      </c>
      <c r="B64" s="6">
        <f>((((B52)+(B56))+(B59))+(B62))+(B63)</f>
        <v>144708.04</v>
      </c>
      <c r="C64" s="6">
        <f>((((C52)+(C56))+(C59))+(C62))+(C63)</f>
        <v>147328.35</v>
      </c>
      <c r="D64" s="6">
        <f>((((D52)+(D56))+(D59))+(D62))+(D63)</f>
        <v>149959.58000000002</v>
      </c>
      <c r="E64" s="6">
        <f>((((E52)+(E56))+(E59))+(E62))+(E63)</f>
        <v>144910.74</v>
      </c>
      <c r="F64" s="6">
        <f>((((F52)+(F56))+(F59))+(F62))+(F63)</f>
        <v>220854.1</v>
      </c>
      <c r="G64" s="6">
        <f t="shared" si="1"/>
        <v>807760.80999999994</v>
      </c>
    </row>
    <row r="65" spans="1:7" x14ac:dyDescent="0.25">
      <c r="A65" s="3" t="s">
        <v>250</v>
      </c>
      <c r="B65" s="5"/>
      <c r="C65" s="5"/>
      <c r="D65" s="5"/>
      <c r="E65" s="5"/>
      <c r="F65" s="5"/>
      <c r="G65" s="4">
        <f t="shared" si="1"/>
        <v>0</v>
      </c>
    </row>
    <row r="66" spans="1:7" x14ac:dyDescent="0.25">
      <c r="A66" s="3" t="s">
        <v>251</v>
      </c>
      <c r="B66" s="4">
        <f>9699.25</f>
        <v>9699.25</v>
      </c>
      <c r="C66" s="4">
        <f>10062.07</f>
        <v>10062.07</v>
      </c>
      <c r="D66" s="4">
        <f>10269.64</f>
        <v>10269.64</v>
      </c>
      <c r="E66" s="4">
        <f>9918.98</f>
        <v>9918.98</v>
      </c>
      <c r="F66" s="4">
        <f>14871.78</f>
        <v>14871.78</v>
      </c>
      <c r="G66" s="4">
        <f t="shared" si="1"/>
        <v>54821.72</v>
      </c>
    </row>
    <row r="67" spans="1:7" x14ac:dyDescent="0.25">
      <c r="A67" s="3" t="s">
        <v>252</v>
      </c>
      <c r="B67" s="5"/>
      <c r="C67" s="5"/>
      <c r="D67" s="5"/>
      <c r="E67" s="4">
        <f>800</f>
        <v>800</v>
      </c>
      <c r="F67" s="5"/>
      <c r="G67" s="4">
        <f t="shared" si="1"/>
        <v>800</v>
      </c>
    </row>
    <row r="68" spans="1:7" x14ac:dyDescent="0.25">
      <c r="A68" s="3" t="s">
        <v>253</v>
      </c>
      <c r="B68" s="4">
        <f>7431.06</f>
        <v>7431.06</v>
      </c>
      <c r="C68" s="4">
        <f>4345.36</f>
        <v>4345.3599999999997</v>
      </c>
      <c r="D68" s="4">
        <f>10502.14</f>
        <v>10502.14</v>
      </c>
      <c r="E68" s="4">
        <f>7762.01</f>
        <v>7762.01</v>
      </c>
      <c r="F68" s="4">
        <f>5602.12</f>
        <v>5602.12</v>
      </c>
      <c r="G68" s="4">
        <f t="shared" si="1"/>
        <v>35642.69</v>
      </c>
    </row>
    <row r="69" spans="1:7" x14ac:dyDescent="0.25">
      <c r="A69" s="3" t="s">
        <v>254</v>
      </c>
      <c r="B69" s="5"/>
      <c r="C69" s="5"/>
      <c r="D69" s="5"/>
      <c r="E69" s="5"/>
      <c r="F69" s="4">
        <f>15400</f>
        <v>15400</v>
      </c>
      <c r="G69" s="4">
        <f t="shared" si="1"/>
        <v>15400</v>
      </c>
    </row>
    <row r="70" spans="1:7" x14ac:dyDescent="0.25">
      <c r="A70" s="3" t="s">
        <v>255</v>
      </c>
      <c r="B70" s="6">
        <f>((((B65)+(B66))+(B67))+(B68))+(B69)</f>
        <v>17130.310000000001</v>
      </c>
      <c r="C70" s="6">
        <f>((((C65)+(C66))+(C67))+(C68))+(C69)</f>
        <v>14407.43</v>
      </c>
      <c r="D70" s="6">
        <f>((((D65)+(D66))+(D67))+(D68))+(D69)</f>
        <v>20771.78</v>
      </c>
      <c r="E70" s="6">
        <f>((((E65)+(E66))+(E67))+(E68))+(E69)</f>
        <v>18480.989999999998</v>
      </c>
      <c r="F70" s="6">
        <f>((((F65)+(F66))+(F67))+(F68))+(F69)</f>
        <v>35873.9</v>
      </c>
      <c r="G70" s="6">
        <f t="shared" si="1"/>
        <v>106664.41</v>
      </c>
    </row>
    <row r="71" spans="1:7" x14ac:dyDescent="0.25">
      <c r="A71" s="3" t="s">
        <v>256</v>
      </c>
      <c r="B71" s="5"/>
      <c r="C71" s="5"/>
      <c r="D71" s="5"/>
      <c r="E71" s="5"/>
      <c r="F71" s="5"/>
      <c r="G71" s="4">
        <f t="shared" si="1"/>
        <v>0</v>
      </c>
    </row>
    <row r="72" spans="1:7" x14ac:dyDescent="0.25">
      <c r="A72" s="3" t="s">
        <v>257</v>
      </c>
      <c r="B72" s="5"/>
      <c r="C72" s="5"/>
      <c r="D72" s="5"/>
      <c r="E72" s="5"/>
      <c r="F72" s="5"/>
      <c r="G72" s="4">
        <f t="shared" si="1"/>
        <v>0</v>
      </c>
    </row>
    <row r="73" spans="1:7" x14ac:dyDescent="0.25">
      <c r="A73" s="3" t="s">
        <v>258</v>
      </c>
      <c r="B73" s="4">
        <f>35.15</f>
        <v>35.15</v>
      </c>
      <c r="C73" s="4">
        <f>238.01</f>
        <v>238.01</v>
      </c>
      <c r="D73" s="4">
        <f>0</f>
        <v>0</v>
      </c>
      <c r="E73" s="4">
        <f>-35.15</f>
        <v>-35.15</v>
      </c>
      <c r="F73" s="4">
        <f>115.56</f>
        <v>115.56</v>
      </c>
      <c r="G73" s="4">
        <f t="shared" si="1"/>
        <v>353.56999999999994</v>
      </c>
    </row>
    <row r="74" spans="1:7" x14ac:dyDescent="0.25">
      <c r="A74" s="3" t="s">
        <v>259</v>
      </c>
      <c r="B74" s="6">
        <f>(B72)+(B73)</f>
        <v>35.15</v>
      </c>
      <c r="C74" s="6">
        <f>(C72)+(C73)</f>
        <v>238.01</v>
      </c>
      <c r="D74" s="6">
        <f>(D72)+(D73)</f>
        <v>0</v>
      </c>
      <c r="E74" s="6">
        <f>(E72)+(E73)</f>
        <v>-35.15</v>
      </c>
      <c r="F74" s="6">
        <f>(F72)+(F73)</f>
        <v>115.56</v>
      </c>
      <c r="G74" s="6">
        <f t="shared" si="1"/>
        <v>353.56999999999994</v>
      </c>
    </row>
    <row r="75" spans="1:7" x14ac:dyDescent="0.25">
      <c r="A75" s="3" t="s">
        <v>260</v>
      </c>
      <c r="B75" s="5"/>
      <c r="C75" s="5"/>
      <c r="D75" s="5"/>
      <c r="E75" s="5"/>
      <c r="F75" s="5"/>
      <c r="G75" s="4">
        <f t="shared" si="1"/>
        <v>0</v>
      </c>
    </row>
    <row r="76" spans="1:7" x14ac:dyDescent="0.25">
      <c r="A76" s="3" t="s">
        <v>261</v>
      </c>
      <c r="B76" s="4">
        <f>5080.5</f>
        <v>5080.5</v>
      </c>
      <c r="C76" s="4">
        <f>3150</f>
        <v>3150</v>
      </c>
      <c r="D76" s="4">
        <f>3150</f>
        <v>3150</v>
      </c>
      <c r="E76" s="4">
        <f>792</f>
        <v>792</v>
      </c>
      <c r="F76" s="4">
        <f>4661.5</f>
        <v>4661.5</v>
      </c>
      <c r="G76" s="4">
        <f t="shared" si="1"/>
        <v>16834</v>
      </c>
    </row>
    <row r="77" spans="1:7" x14ac:dyDescent="0.25">
      <c r="A77" s="3" t="s">
        <v>262</v>
      </c>
      <c r="B77" s="4">
        <f>925.08</f>
        <v>925.08</v>
      </c>
      <c r="C77" s="4">
        <f>820</f>
        <v>820</v>
      </c>
      <c r="D77" s="4">
        <f>790</f>
        <v>790</v>
      </c>
      <c r="E77" s="4">
        <f>770</f>
        <v>770</v>
      </c>
      <c r="F77" s="5"/>
      <c r="G77" s="4">
        <f t="shared" si="1"/>
        <v>3305.08</v>
      </c>
    </row>
    <row r="78" spans="1:7" x14ac:dyDescent="0.25">
      <c r="A78" s="3" t="s">
        <v>263</v>
      </c>
      <c r="B78" s="4">
        <f>4994.65</f>
        <v>4994.6499999999996</v>
      </c>
      <c r="C78" s="4">
        <f>2430.05</f>
        <v>2430.0500000000002</v>
      </c>
      <c r="D78" s="4">
        <f>1290.05</f>
        <v>1290.05</v>
      </c>
      <c r="E78" s="4">
        <f>1215.05</f>
        <v>1215.05</v>
      </c>
      <c r="F78" s="4">
        <f>930.05</f>
        <v>930.05</v>
      </c>
      <c r="G78" s="4">
        <f t="shared" si="1"/>
        <v>10859.849999999999</v>
      </c>
    </row>
    <row r="79" spans="1:7" x14ac:dyDescent="0.25">
      <c r="A79" s="3" t="s">
        <v>264</v>
      </c>
      <c r="B79" s="4">
        <f>44.31</f>
        <v>44.31</v>
      </c>
      <c r="C79" s="4">
        <f>20.95</f>
        <v>20.95</v>
      </c>
      <c r="D79" s="4">
        <f>27.1</f>
        <v>27.1</v>
      </c>
      <c r="E79" s="4">
        <f>19.45</f>
        <v>19.45</v>
      </c>
      <c r="F79" s="4">
        <f>33</f>
        <v>33</v>
      </c>
      <c r="G79" s="4">
        <f t="shared" si="1"/>
        <v>144.81</v>
      </c>
    </row>
    <row r="80" spans="1:7" x14ac:dyDescent="0.25">
      <c r="A80" s="3" t="s">
        <v>265</v>
      </c>
      <c r="B80" s="4">
        <f>459.58</f>
        <v>459.58</v>
      </c>
      <c r="C80" s="4">
        <f>449.23</f>
        <v>449.23</v>
      </c>
      <c r="D80" s="4">
        <f>254.74</f>
        <v>254.74</v>
      </c>
      <c r="E80" s="4">
        <f>437.82</f>
        <v>437.82</v>
      </c>
      <c r="F80" s="4">
        <f>215</f>
        <v>215</v>
      </c>
      <c r="G80" s="4">
        <f t="shared" si="1"/>
        <v>1816.37</v>
      </c>
    </row>
    <row r="81" spans="1:7" x14ac:dyDescent="0.25">
      <c r="A81" s="3" t="s">
        <v>266</v>
      </c>
      <c r="B81" s="4">
        <f>5325.26</f>
        <v>5325.26</v>
      </c>
      <c r="C81" s="4">
        <f>6817.21</f>
        <v>6817.21</v>
      </c>
      <c r="D81" s="4">
        <f>5052.06</f>
        <v>5052.0600000000004</v>
      </c>
      <c r="E81" s="4">
        <f>5657.06</f>
        <v>5657.06</v>
      </c>
      <c r="F81" s="4">
        <f>5660.64</f>
        <v>5660.64</v>
      </c>
      <c r="G81" s="4">
        <f t="shared" si="1"/>
        <v>28512.230000000003</v>
      </c>
    </row>
    <row r="82" spans="1:7" x14ac:dyDescent="0.25">
      <c r="A82" s="3" t="s">
        <v>267</v>
      </c>
      <c r="B82" s="6">
        <f>((((((B75)+(B76))+(B77))+(B78))+(B79))+(B80))+(B81)</f>
        <v>16829.379999999997</v>
      </c>
      <c r="C82" s="6">
        <f>((((((C75)+(C76))+(C77))+(C78))+(C79))+(C80))+(C81)</f>
        <v>13687.439999999999</v>
      </c>
      <c r="D82" s="6">
        <f>((((((D75)+(D76))+(D77))+(D78))+(D79))+(D80))+(D81)</f>
        <v>10563.95</v>
      </c>
      <c r="E82" s="6">
        <f>((((((E75)+(E76))+(E77))+(E78))+(E79))+(E80))+(E81)</f>
        <v>8891.380000000001</v>
      </c>
      <c r="F82" s="6">
        <f>((((((F75)+(F76))+(F77))+(F78))+(F79))+(F80))+(F81)</f>
        <v>11500.19</v>
      </c>
      <c r="G82" s="6">
        <f t="shared" si="1"/>
        <v>61472.34</v>
      </c>
    </row>
    <row r="83" spans="1:7" x14ac:dyDescent="0.25">
      <c r="A83" s="3" t="s">
        <v>268</v>
      </c>
      <c r="B83" s="5"/>
      <c r="C83" s="5"/>
      <c r="D83" s="5"/>
      <c r="E83" s="5"/>
      <c r="F83" s="5"/>
      <c r="G83" s="4">
        <f t="shared" si="1"/>
        <v>0</v>
      </c>
    </row>
    <row r="84" spans="1:7" x14ac:dyDescent="0.25">
      <c r="A84" s="3" t="s">
        <v>269</v>
      </c>
      <c r="B84" s="4">
        <f>341</f>
        <v>341</v>
      </c>
      <c r="C84" s="4">
        <f>133.5</f>
        <v>133.5</v>
      </c>
      <c r="D84" s="5"/>
      <c r="E84" s="4">
        <f>133.5</f>
        <v>133.5</v>
      </c>
      <c r="F84" s="4">
        <f>843.5</f>
        <v>843.5</v>
      </c>
      <c r="G84" s="4">
        <f t="shared" si="1"/>
        <v>1451.5</v>
      </c>
    </row>
    <row r="85" spans="1:7" x14ac:dyDescent="0.25">
      <c r="A85" s="3" t="s">
        <v>270</v>
      </c>
      <c r="B85" s="6">
        <f>(B83)+(B84)</f>
        <v>341</v>
      </c>
      <c r="C85" s="6">
        <f>(C83)+(C84)</f>
        <v>133.5</v>
      </c>
      <c r="D85" s="6">
        <f>(D83)+(D84)</f>
        <v>0</v>
      </c>
      <c r="E85" s="6">
        <f>(E83)+(E84)</f>
        <v>133.5</v>
      </c>
      <c r="F85" s="6">
        <f>(F83)+(F84)</f>
        <v>843.5</v>
      </c>
      <c r="G85" s="6">
        <f t="shared" si="1"/>
        <v>1451.5</v>
      </c>
    </row>
    <row r="86" spans="1:7" x14ac:dyDescent="0.25">
      <c r="A86" s="3" t="s">
        <v>271</v>
      </c>
      <c r="B86" s="6">
        <f>(((B71)+(B74))+(B82))+(B85)</f>
        <v>17205.53</v>
      </c>
      <c r="C86" s="6">
        <f>(((C71)+(C74))+(C82))+(C85)</f>
        <v>14058.949999999999</v>
      </c>
      <c r="D86" s="6">
        <f>(((D71)+(D74))+(D82))+(D85)</f>
        <v>10563.95</v>
      </c>
      <c r="E86" s="6">
        <f>(((E71)+(E74))+(E82))+(E85)</f>
        <v>8989.7300000000014</v>
      </c>
      <c r="F86" s="6">
        <f>(((F71)+(F74))+(F82))+(F85)</f>
        <v>12459.25</v>
      </c>
      <c r="G86" s="6">
        <f t="shared" si="1"/>
        <v>63277.409999999996</v>
      </c>
    </row>
    <row r="87" spans="1:7" x14ac:dyDescent="0.25">
      <c r="A87" s="3" t="s">
        <v>272</v>
      </c>
      <c r="B87" s="5"/>
      <c r="C87" s="5"/>
      <c r="D87" s="5"/>
      <c r="E87" s="5"/>
      <c r="F87" s="5"/>
      <c r="G87" s="4">
        <f t="shared" si="1"/>
        <v>0</v>
      </c>
    </row>
    <row r="88" spans="1:7" x14ac:dyDescent="0.25">
      <c r="A88" s="3" t="s">
        <v>273</v>
      </c>
      <c r="B88" s="4">
        <f>125</f>
        <v>125</v>
      </c>
      <c r="C88" s="4">
        <f>2400</f>
        <v>2400</v>
      </c>
      <c r="D88" s="5"/>
      <c r="E88" s="4">
        <f>20.83</f>
        <v>20.83</v>
      </c>
      <c r="F88" s="5"/>
      <c r="G88" s="4">
        <f t="shared" si="1"/>
        <v>2545.83</v>
      </c>
    </row>
    <row r="89" spans="1:7" x14ac:dyDescent="0.25">
      <c r="A89" s="3" t="s">
        <v>274</v>
      </c>
      <c r="B89" s="4">
        <f>975.48</f>
        <v>975.48</v>
      </c>
      <c r="C89" s="4">
        <f>226.48</f>
        <v>226.48</v>
      </c>
      <c r="D89" s="5"/>
      <c r="E89" s="5"/>
      <c r="F89" s="5"/>
      <c r="G89" s="4">
        <f t="shared" si="1"/>
        <v>1201.96</v>
      </c>
    </row>
    <row r="90" spans="1:7" x14ac:dyDescent="0.25">
      <c r="A90" s="3" t="s">
        <v>275</v>
      </c>
      <c r="B90" s="4">
        <f>325</f>
        <v>325</v>
      </c>
      <c r="C90" s="5"/>
      <c r="D90" s="5"/>
      <c r="E90" s="5"/>
      <c r="F90" s="5"/>
      <c r="G90" s="4">
        <f t="shared" si="1"/>
        <v>325</v>
      </c>
    </row>
    <row r="91" spans="1:7" x14ac:dyDescent="0.25">
      <c r="A91" s="3" t="s">
        <v>276</v>
      </c>
      <c r="B91" s="6">
        <f>(((B87)+(B88))+(B89))+(B90)</f>
        <v>1425.48</v>
      </c>
      <c r="C91" s="6">
        <f>(((C87)+(C88))+(C89))+(C90)</f>
        <v>2626.48</v>
      </c>
      <c r="D91" s="6">
        <f>(((D87)+(D88))+(D89))+(D90)</f>
        <v>0</v>
      </c>
      <c r="E91" s="6">
        <f>(((E87)+(E88))+(E89))+(E90)</f>
        <v>20.83</v>
      </c>
      <c r="F91" s="6">
        <f>(((F87)+(F88))+(F89))+(F90)</f>
        <v>0</v>
      </c>
      <c r="G91" s="6">
        <f t="shared" si="1"/>
        <v>4072.79</v>
      </c>
    </row>
    <row r="92" spans="1:7" x14ac:dyDescent="0.25">
      <c r="A92" s="3" t="s">
        <v>277</v>
      </c>
      <c r="B92" s="5"/>
      <c r="C92" s="5"/>
      <c r="D92" s="5"/>
      <c r="E92" s="5"/>
      <c r="F92" s="5"/>
      <c r="G92" s="4">
        <f t="shared" si="1"/>
        <v>0</v>
      </c>
    </row>
    <row r="93" spans="1:7" x14ac:dyDescent="0.25">
      <c r="A93" s="3" t="s">
        <v>278</v>
      </c>
      <c r="B93" s="5"/>
      <c r="C93" s="5"/>
      <c r="D93" s="5"/>
      <c r="E93" s="5"/>
      <c r="F93" s="5"/>
      <c r="G93" s="4">
        <f t="shared" si="1"/>
        <v>0</v>
      </c>
    </row>
    <row r="94" spans="1:7" x14ac:dyDescent="0.25">
      <c r="A94" s="3" t="s">
        <v>279</v>
      </c>
      <c r="B94" s="4">
        <f>11822.17</f>
        <v>11822.17</v>
      </c>
      <c r="C94" s="4">
        <f>5714.71</f>
        <v>5714.71</v>
      </c>
      <c r="D94" s="4">
        <f>4528.38</f>
        <v>4528.38</v>
      </c>
      <c r="E94" s="4">
        <f>3186.87</f>
        <v>3186.87</v>
      </c>
      <c r="F94" s="4">
        <f>3075.79</f>
        <v>3075.79</v>
      </c>
      <c r="G94" s="4">
        <f t="shared" si="1"/>
        <v>28327.920000000002</v>
      </c>
    </row>
    <row r="95" spans="1:7" x14ac:dyDescent="0.25">
      <c r="A95" s="3" t="s">
        <v>280</v>
      </c>
      <c r="B95" s="4">
        <f>2750</f>
        <v>2750</v>
      </c>
      <c r="C95" s="5"/>
      <c r="D95" s="4">
        <f>1003.89</f>
        <v>1003.89</v>
      </c>
      <c r="E95" s="5"/>
      <c r="F95" s="4">
        <f>21.94</f>
        <v>21.94</v>
      </c>
      <c r="G95" s="4">
        <f t="shared" si="1"/>
        <v>3775.83</v>
      </c>
    </row>
    <row r="96" spans="1:7" x14ac:dyDescent="0.25">
      <c r="A96" s="3" t="s">
        <v>281</v>
      </c>
      <c r="B96" s="5"/>
      <c r="C96" s="4">
        <f>824.16</f>
        <v>824.16</v>
      </c>
      <c r="D96" s="5"/>
      <c r="E96" s="4">
        <f>39.95</f>
        <v>39.950000000000003</v>
      </c>
      <c r="F96" s="5"/>
      <c r="G96" s="4">
        <f t="shared" si="1"/>
        <v>864.11</v>
      </c>
    </row>
    <row r="97" spans="1:7" x14ac:dyDescent="0.25">
      <c r="A97" s="3" t="s">
        <v>282</v>
      </c>
      <c r="B97" s="4">
        <f>200</f>
        <v>200</v>
      </c>
      <c r="C97" s="4">
        <f>425.86</f>
        <v>425.86</v>
      </c>
      <c r="D97" s="4">
        <f>1640.91</f>
        <v>1640.91</v>
      </c>
      <c r="E97" s="4">
        <f>3368.15</f>
        <v>3368.15</v>
      </c>
      <c r="F97" s="4">
        <f>1337.21</f>
        <v>1337.21</v>
      </c>
      <c r="G97" s="4">
        <f t="shared" si="1"/>
        <v>6972.13</v>
      </c>
    </row>
    <row r="98" spans="1:7" x14ac:dyDescent="0.25">
      <c r="A98" s="3" t="s">
        <v>283</v>
      </c>
      <c r="B98" s="4">
        <f>150</f>
        <v>150</v>
      </c>
      <c r="C98" s="5"/>
      <c r="D98" s="5"/>
      <c r="E98" s="5"/>
      <c r="F98" s="5"/>
      <c r="G98" s="4">
        <f t="shared" si="1"/>
        <v>150</v>
      </c>
    </row>
    <row r="99" spans="1:7" x14ac:dyDescent="0.25">
      <c r="A99" s="3" t="s">
        <v>284</v>
      </c>
      <c r="B99" s="4">
        <f>0</f>
        <v>0</v>
      </c>
      <c r="C99" s="5"/>
      <c r="D99" s="5"/>
      <c r="E99" s="5"/>
      <c r="F99" s="5"/>
      <c r="G99" s="4">
        <f t="shared" si="1"/>
        <v>0</v>
      </c>
    </row>
    <row r="100" spans="1:7" x14ac:dyDescent="0.25">
      <c r="A100" s="3" t="s">
        <v>285</v>
      </c>
      <c r="B100" s="5"/>
      <c r="C100" s="5"/>
      <c r="D100" s="5"/>
      <c r="E100" s="4">
        <f>700</f>
        <v>700</v>
      </c>
      <c r="F100" s="5"/>
      <c r="G100" s="4">
        <f t="shared" si="1"/>
        <v>700</v>
      </c>
    </row>
    <row r="101" spans="1:7" x14ac:dyDescent="0.25">
      <c r="A101" s="3" t="s">
        <v>286</v>
      </c>
      <c r="B101" s="5"/>
      <c r="C101" s="5"/>
      <c r="D101" s="5"/>
      <c r="E101" s="4">
        <f>765</f>
        <v>765</v>
      </c>
      <c r="F101" s="5"/>
      <c r="G101" s="4">
        <f t="shared" si="1"/>
        <v>765</v>
      </c>
    </row>
    <row r="102" spans="1:7" x14ac:dyDescent="0.25">
      <c r="A102" s="3" t="s">
        <v>287</v>
      </c>
      <c r="B102" s="5"/>
      <c r="C102" s="5"/>
      <c r="D102" s="4">
        <f>198.19</f>
        <v>198.19</v>
      </c>
      <c r="E102" s="4">
        <f>-212.5</f>
        <v>-212.5</v>
      </c>
      <c r="F102" s="4">
        <f>26.25</f>
        <v>26.25</v>
      </c>
      <c r="G102" s="4">
        <f t="shared" si="1"/>
        <v>11.939999999999998</v>
      </c>
    </row>
    <row r="103" spans="1:7" x14ac:dyDescent="0.25">
      <c r="A103" s="3" t="s">
        <v>288</v>
      </c>
      <c r="B103" s="6">
        <f>(((((((((B93)+(B94))+(B95))+(B96))+(B97))+(B98))+(B99))+(B100))+(B101))+(B102)</f>
        <v>14922.17</v>
      </c>
      <c r="C103" s="6">
        <f>(((((((((C93)+(C94))+(C95))+(C96))+(C97))+(C98))+(C99))+(C100))+(C101))+(C102)</f>
        <v>6964.73</v>
      </c>
      <c r="D103" s="6">
        <f>(((((((((D93)+(D94))+(D95))+(D96))+(D97))+(D98))+(D99))+(D100))+(D101))+(D102)</f>
        <v>7371.37</v>
      </c>
      <c r="E103" s="6">
        <f>(((((((((E93)+(E94))+(E95))+(E96))+(E97))+(E98))+(E99))+(E100))+(E101))+(E102)</f>
        <v>7847.4699999999993</v>
      </c>
      <c r="F103" s="6">
        <f>(((((((((F93)+(F94))+(F95))+(F96))+(F97))+(F98))+(F99))+(F100))+(F101))+(F102)</f>
        <v>4461.1900000000005</v>
      </c>
      <c r="G103" s="6">
        <f t="shared" si="1"/>
        <v>41566.93</v>
      </c>
    </row>
    <row r="104" spans="1:7" x14ac:dyDescent="0.25">
      <c r="A104" s="3" t="s">
        <v>289</v>
      </c>
      <c r="B104" s="5"/>
      <c r="C104" s="5"/>
      <c r="D104" s="5"/>
      <c r="E104" s="5"/>
      <c r="F104" s="5"/>
      <c r="G104" s="4">
        <f t="shared" si="1"/>
        <v>0</v>
      </c>
    </row>
    <row r="105" spans="1:7" x14ac:dyDescent="0.25">
      <c r="A105" s="3" t="s">
        <v>290</v>
      </c>
      <c r="B105" s="4">
        <f>4106.2</f>
        <v>4106.2</v>
      </c>
      <c r="C105" s="4">
        <f>4099.08</f>
        <v>4099.08</v>
      </c>
      <c r="D105" s="4">
        <f>791.14</f>
        <v>791.14</v>
      </c>
      <c r="E105" s="4">
        <f>788.73</f>
        <v>788.73</v>
      </c>
      <c r="F105" s="4">
        <f>854.21</f>
        <v>854.21</v>
      </c>
      <c r="G105" s="4">
        <f t="shared" si="1"/>
        <v>10639.359999999997</v>
      </c>
    </row>
    <row r="106" spans="1:7" x14ac:dyDescent="0.25">
      <c r="A106" s="3" t="s">
        <v>291</v>
      </c>
      <c r="B106" s="4">
        <f>950</f>
        <v>950</v>
      </c>
      <c r="C106" s="4">
        <f>2625.12</f>
        <v>2625.12</v>
      </c>
      <c r="D106" s="4">
        <f>392.14</f>
        <v>392.14</v>
      </c>
      <c r="E106" s="4">
        <f>1399.4</f>
        <v>1399.4</v>
      </c>
      <c r="F106" s="4">
        <f>1442.35</f>
        <v>1442.35</v>
      </c>
      <c r="G106" s="4">
        <f t="shared" si="1"/>
        <v>6809.01</v>
      </c>
    </row>
    <row r="107" spans="1:7" x14ac:dyDescent="0.25">
      <c r="A107" s="3" t="s">
        <v>292</v>
      </c>
      <c r="B107" s="6">
        <f>((B104)+(B105))+(B106)</f>
        <v>5056.2</v>
      </c>
      <c r="C107" s="6">
        <f>((C104)+(C105))+(C106)</f>
        <v>6724.2</v>
      </c>
      <c r="D107" s="6">
        <f>((D104)+(D105))+(D106)</f>
        <v>1183.28</v>
      </c>
      <c r="E107" s="6">
        <f>((E104)+(E105))+(E106)</f>
        <v>2188.13</v>
      </c>
      <c r="F107" s="6">
        <f>((F104)+(F105))+(F106)</f>
        <v>2296.56</v>
      </c>
      <c r="G107" s="6">
        <f t="shared" si="1"/>
        <v>17448.370000000003</v>
      </c>
    </row>
    <row r="108" spans="1:7" x14ac:dyDescent="0.25">
      <c r="A108" s="3" t="s">
        <v>293</v>
      </c>
      <c r="B108" s="5"/>
      <c r="C108" s="5"/>
      <c r="D108" s="5"/>
      <c r="E108" s="5"/>
      <c r="F108" s="5"/>
      <c r="G108" s="4">
        <f t="shared" si="1"/>
        <v>0</v>
      </c>
    </row>
    <row r="109" spans="1:7" x14ac:dyDescent="0.25">
      <c r="A109" s="3" t="s">
        <v>294</v>
      </c>
      <c r="B109" s="4">
        <f>977.4</f>
        <v>977.4</v>
      </c>
      <c r="C109" s="4">
        <f>1840.8</f>
        <v>1840.8</v>
      </c>
      <c r="D109" s="4">
        <f>2284.2</f>
        <v>2284.1999999999998</v>
      </c>
      <c r="E109" s="5"/>
      <c r="F109" s="5"/>
      <c r="G109" s="4">
        <f t="shared" si="1"/>
        <v>5102.3999999999996</v>
      </c>
    </row>
    <row r="110" spans="1:7" x14ac:dyDescent="0.25">
      <c r="A110" s="3" t="s">
        <v>295</v>
      </c>
      <c r="B110" s="4">
        <f>3088.25</f>
        <v>3088.25</v>
      </c>
      <c r="C110" s="4">
        <f>1458.74</f>
        <v>1458.74</v>
      </c>
      <c r="D110" s="4">
        <f>-3.09</f>
        <v>-3.09</v>
      </c>
      <c r="E110" s="4">
        <f>27.17</f>
        <v>27.17</v>
      </c>
      <c r="F110" s="4">
        <f>130.85</f>
        <v>130.85</v>
      </c>
      <c r="G110" s="4">
        <f t="shared" si="1"/>
        <v>4701.92</v>
      </c>
    </row>
    <row r="111" spans="1:7" x14ac:dyDescent="0.25">
      <c r="A111" s="3" t="s">
        <v>296</v>
      </c>
      <c r="B111" s="4">
        <f>1952.38</f>
        <v>1952.38</v>
      </c>
      <c r="C111" s="4">
        <f>1146.26</f>
        <v>1146.26</v>
      </c>
      <c r="D111" s="5"/>
      <c r="E111" s="4">
        <f>2059.46</f>
        <v>2059.46</v>
      </c>
      <c r="F111" s="4">
        <f>1813.76</f>
        <v>1813.76</v>
      </c>
      <c r="G111" s="4">
        <f t="shared" si="1"/>
        <v>6971.8600000000006</v>
      </c>
    </row>
    <row r="112" spans="1:7" x14ac:dyDescent="0.25">
      <c r="A112" s="3" t="s">
        <v>297</v>
      </c>
      <c r="B112" s="6">
        <f>(((B108)+(B109))+(B110))+(B111)</f>
        <v>6018.0300000000007</v>
      </c>
      <c r="C112" s="6">
        <f>(((C108)+(C109))+(C110))+(C111)</f>
        <v>4445.8</v>
      </c>
      <c r="D112" s="6">
        <f>(((D108)+(D109))+(D110))+(D111)</f>
        <v>2281.1099999999997</v>
      </c>
      <c r="E112" s="6">
        <f>(((E108)+(E109))+(E110))+(E111)</f>
        <v>2086.63</v>
      </c>
      <c r="F112" s="6">
        <f>(((F108)+(F109))+(F110))+(F111)</f>
        <v>1944.61</v>
      </c>
      <c r="G112" s="6">
        <f t="shared" si="1"/>
        <v>16776.180000000004</v>
      </c>
    </row>
    <row r="113" spans="1:7" x14ac:dyDescent="0.25">
      <c r="A113" s="3" t="s">
        <v>298</v>
      </c>
      <c r="B113" s="6">
        <f>(((B92)+(B103))+(B107))+(B112)</f>
        <v>25996.400000000001</v>
      </c>
      <c r="C113" s="6">
        <f>(((C92)+(C103))+(C107))+(C112)</f>
        <v>18134.73</v>
      </c>
      <c r="D113" s="6">
        <f>(((D92)+(D103))+(D107))+(D112)</f>
        <v>10835.759999999998</v>
      </c>
      <c r="E113" s="6">
        <f>(((E92)+(E103))+(E107))+(E112)</f>
        <v>12122.23</v>
      </c>
      <c r="F113" s="6">
        <f>(((F92)+(F103))+(F107))+(F112)</f>
        <v>8702.36</v>
      </c>
      <c r="G113" s="6">
        <f t="shared" si="1"/>
        <v>75791.48</v>
      </c>
    </row>
    <row r="114" spans="1:7" x14ac:dyDescent="0.25">
      <c r="A114" s="3" t="s">
        <v>299</v>
      </c>
      <c r="B114" s="4">
        <f>147.96</f>
        <v>147.96</v>
      </c>
      <c r="C114" s="5"/>
      <c r="D114" s="5"/>
      <c r="E114" s="4">
        <f>920.01</f>
        <v>920.01</v>
      </c>
      <c r="F114" s="4">
        <f>52.29</f>
        <v>52.29</v>
      </c>
      <c r="G114" s="4">
        <f t="shared" si="1"/>
        <v>1120.26</v>
      </c>
    </row>
    <row r="115" spans="1:7" x14ac:dyDescent="0.25">
      <c r="A115" s="3" t="s">
        <v>300</v>
      </c>
      <c r="B115" s="5"/>
      <c r="C115" s="5"/>
      <c r="D115" s="5"/>
      <c r="E115" s="5"/>
      <c r="F115" s="5"/>
      <c r="G115" s="4">
        <f t="shared" si="1"/>
        <v>0</v>
      </c>
    </row>
    <row r="116" spans="1:7" x14ac:dyDescent="0.25">
      <c r="A116" s="3" t="s">
        <v>301</v>
      </c>
      <c r="B116" s="4">
        <f>40</f>
        <v>40</v>
      </c>
      <c r="C116" s="4">
        <f>57.25</f>
        <v>57.25</v>
      </c>
      <c r="D116" s="4">
        <f>57.25</f>
        <v>57.25</v>
      </c>
      <c r="E116" s="4">
        <f>47.25</f>
        <v>47.25</v>
      </c>
      <c r="F116" s="4">
        <f>47.25</f>
        <v>47.25</v>
      </c>
      <c r="G116" s="4">
        <f t="shared" ref="G116:G154" si="2">((((B116)+(C116))+(D116))+(E116))+(F116)</f>
        <v>249</v>
      </c>
    </row>
    <row r="117" spans="1:7" x14ac:dyDescent="0.25">
      <c r="A117" s="3" t="s">
        <v>302</v>
      </c>
      <c r="B117" s="4">
        <f>-478.5</f>
        <v>-478.5</v>
      </c>
      <c r="C117" s="5"/>
      <c r="D117" s="4">
        <f>-212.45</f>
        <v>-212.45</v>
      </c>
      <c r="E117" s="4">
        <f>-217.5</f>
        <v>-217.5</v>
      </c>
      <c r="F117" s="4">
        <f>-87.5</f>
        <v>-87.5</v>
      </c>
      <c r="G117" s="4">
        <f t="shared" si="2"/>
        <v>-995.95</v>
      </c>
    </row>
    <row r="118" spans="1:7" x14ac:dyDescent="0.25">
      <c r="A118" s="3" t="s">
        <v>303</v>
      </c>
      <c r="B118" s="5"/>
      <c r="C118" s="5"/>
      <c r="D118" s="5"/>
      <c r="E118" s="5"/>
      <c r="F118" s="5"/>
      <c r="G118" s="4">
        <f t="shared" si="2"/>
        <v>0</v>
      </c>
    </row>
    <row r="119" spans="1:7" x14ac:dyDescent="0.25">
      <c r="A119" s="3" t="s">
        <v>304</v>
      </c>
      <c r="B119" s="4">
        <f>98.49</f>
        <v>98.49</v>
      </c>
      <c r="C119" s="4">
        <f>56.59</f>
        <v>56.59</v>
      </c>
      <c r="D119" s="4">
        <f>48.51</f>
        <v>48.51</v>
      </c>
      <c r="E119" s="4">
        <f>48.51</f>
        <v>48.51</v>
      </c>
      <c r="F119" s="4">
        <f>48.51</f>
        <v>48.51</v>
      </c>
      <c r="G119" s="4">
        <f t="shared" si="2"/>
        <v>300.60999999999996</v>
      </c>
    </row>
    <row r="120" spans="1:7" x14ac:dyDescent="0.25">
      <c r="A120" s="3" t="s">
        <v>305</v>
      </c>
      <c r="B120" s="4">
        <f>313.06</f>
        <v>313.06</v>
      </c>
      <c r="C120" s="4">
        <f>442.8</f>
        <v>442.8</v>
      </c>
      <c r="D120" s="4">
        <f>1538.81</f>
        <v>1538.81</v>
      </c>
      <c r="E120" s="4">
        <f>442.8</f>
        <v>442.8</v>
      </c>
      <c r="F120" s="4">
        <f>442.8</f>
        <v>442.8</v>
      </c>
      <c r="G120" s="4">
        <f t="shared" si="2"/>
        <v>3180.2700000000004</v>
      </c>
    </row>
    <row r="121" spans="1:7" x14ac:dyDescent="0.25">
      <c r="A121" s="3" t="s">
        <v>306</v>
      </c>
      <c r="B121" s="4">
        <f>234.99</f>
        <v>234.99</v>
      </c>
      <c r="C121" s="4">
        <f>34.99</f>
        <v>34.99</v>
      </c>
      <c r="D121" s="4">
        <f>287.11</f>
        <v>287.11</v>
      </c>
      <c r="E121" s="4">
        <f>34.99</f>
        <v>34.99</v>
      </c>
      <c r="F121" s="4">
        <f>607.48</f>
        <v>607.48</v>
      </c>
      <c r="G121" s="4">
        <f t="shared" si="2"/>
        <v>1199.56</v>
      </c>
    </row>
    <row r="122" spans="1:7" x14ac:dyDescent="0.25">
      <c r="A122" s="3" t="s">
        <v>307</v>
      </c>
      <c r="B122" s="4">
        <f>229.18</f>
        <v>229.18</v>
      </c>
      <c r="C122" s="4">
        <f>1273.33</f>
        <v>1273.33</v>
      </c>
      <c r="D122" s="4">
        <f>997.77</f>
        <v>997.77</v>
      </c>
      <c r="E122" s="4">
        <f>1366.35</f>
        <v>1366.35</v>
      </c>
      <c r="F122" s="4">
        <f>1127.37</f>
        <v>1127.3699999999999</v>
      </c>
      <c r="G122" s="4">
        <f t="shared" si="2"/>
        <v>4994</v>
      </c>
    </row>
    <row r="123" spans="1:7" x14ac:dyDescent="0.25">
      <c r="A123" s="3" t="s">
        <v>308</v>
      </c>
      <c r="B123" s="6">
        <f>((((B118)+(B119))+(B120))+(B121))+(B122)</f>
        <v>875.72</v>
      </c>
      <c r="C123" s="6">
        <f>((((C118)+(C119))+(C120))+(C121))+(C122)</f>
        <v>1807.71</v>
      </c>
      <c r="D123" s="6">
        <f>((((D118)+(D119))+(D120))+(D121))+(D122)</f>
        <v>2872.2</v>
      </c>
      <c r="E123" s="6">
        <f>((((E118)+(E119))+(E120))+(E121))+(E122)</f>
        <v>1892.6499999999999</v>
      </c>
      <c r="F123" s="6">
        <f>((((F118)+(F119))+(F120))+(F121))+(F122)</f>
        <v>2226.16</v>
      </c>
      <c r="G123" s="6">
        <f t="shared" si="2"/>
        <v>9674.4399999999987</v>
      </c>
    </row>
    <row r="124" spans="1:7" x14ac:dyDescent="0.25">
      <c r="A124" s="3" t="s">
        <v>309</v>
      </c>
      <c r="B124" s="4">
        <f>1697.65</f>
        <v>1697.65</v>
      </c>
      <c r="C124" s="4">
        <f>1697.65</f>
        <v>1697.65</v>
      </c>
      <c r="D124" s="4">
        <f>1697.65</f>
        <v>1697.65</v>
      </c>
      <c r="E124" s="4">
        <f>1697.65</f>
        <v>1697.65</v>
      </c>
      <c r="F124" s="4">
        <f>1697.65</f>
        <v>1697.65</v>
      </c>
      <c r="G124" s="4">
        <f t="shared" si="2"/>
        <v>8488.25</v>
      </c>
    </row>
    <row r="125" spans="1:7" x14ac:dyDescent="0.25">
      <c r="A125" s="3" t="s">
        <v>310</v>
      </c>
      <c r="B125" s="5"/>
      <c r="C125" s="5"/>
      <c r="D125" s="5"/>
      <c r="E125" s="5"/>
      <c r="F125" s="5"/>
      <c r="G125" s="4">
        <f t="shared" si="2"/>
        <v>0</v>
      </c>
    </row>
    <row r="126" spans="1:7" x14ac:dyDescent="0.25">
      <c r="A126" s="3" t="s">
        <v>311</v>
      </c>
      <c r="B126" s="4">
        <f>1083.41</f>
        <v>1083.4100000000001</v>
      </c>
      <c r="C126" s="4">
        <f>-315.76</f>
        <v>-315.76</v>
      </c>
      <c r="D126" s="4">
        <f>550.24</f>
        <v>550.24</v>
      </c>
      <c r="E126" s="4">
        <f>550.24</f>
        <v>550.24</v>
      </c>
      <c r="F126" s="4">
        <f>550.24</f>
        <v>550.24</v>
      </c>
      <c r="G126" s="4">
        <f t="shared" si="2"/>
        <v>2418.37</v>
      </c>
    </row>
    <row r="127" spans="1:7" x14ac:dyDescent="0.25">
      <c r="A127" s="3" t="s">
        <v>312</v>
      </c>
      <c r="B127" s="4">
        <f>3079.09</f>
        <v>3079.09</v>
      </c>
      <c r="C127" s="4">
        <f>3079.08</f>
        <v>3079.08</v>
      </c>
      <c r="D127" s="4">
        <f>3079.08</f>
        <v>3079.08</v>
      </c>
      <c r="E127" s="4">
        <f>3079.08</f>
        <v>3079.08</v>
      </c>
      <c r="F127" s="4">
        <f>3079.08</f>
        <v>3079.08</v>
      </c>
      <c r="G127" s="4">
        <f t="shared" si="2"/>
        <v>15395.41</v>
      </c>
    </row>
    <row r="128" spans="1:7" x14ac:dyDescent="0.25">
      <c r="A128" s="3" t="s">
        <v>313</v>
      </c>
      <c r="B128" s="4">
        <f>299.16</f>
        <v>299.16000000000003</v>
      </c>
      <c r="C128" s="4">
        <f>299.17</f>
        <v>299.17</v>
      </c>
      <c r="D128" s="4">
        <f>299.17</f>
        <v>299.17</v>
      </c>
      <c r="E128" s="4">
        <f>299.17</f>
        <v>299.17</v>
      </c>
      <c r="F128" s="4">
        <f>322.5</f>
        <v>322.5</v>
      </c>
      <c r="G128" s="4">
        <f t="shared" si="2"/>
        <v>1519.17</v>
      </c>
    </row>
    <row r="129" spans="1:7" x14ac:dyDescent="0.25">
      <c r="A129" s="3" t="s">
        <v>314</v>
      </c>
      <c r="B129" s="6">
        <f>(((B125)+(B126))+(B127))+(B128)</f>
        <v>4461.66</v>
      </c>
      <c r="C129" s="6">
        <f>(((C125)+(C126))+(C127))+(C128)</f>
        <v>3062.49</v>
      </c>
      <c r="D129" s="6">
        <f>(((D125)+(D126))+(D127))+(D128)</f>
        <v>3928.49</v>
      </c>
      <c r="E129" s="6">
        <f>(((E125)+(E126))+(E127))+(E128)</f>
        <v>3928.49</v>
      </c>
      <c r="F129" s="6">
        <f>(((F125)+(F126))+(F127))+(F128)</f>
        <v>3951.8199999999997</v>
      </c>
      <c r="G129" s="6">
        <f t="shared" si="2"/>
        <v>19332.949999999997</v>
      </c>
    </row>
    <row r="130" spans="1:7" x14ac:dyDescent="0.25">
      <c r="A130" s="3" t="s">
        <v>315</v>
      </c>
      <c r="B130" s="5"/>
      <c r="C130" s="5"/>
      <c r="D130" s="5"/>
      <c r="E130" s="5"/>
      <c r="F130" s="5"/>
      <c r="G130" s="4">
        <f t="shared" si="2"/>
        <v>0</v>
      </c>
    </row>
    <row r="131" spans="1:7" x14ac:dyDescent="0.25">
      <c r="A131" s="3" t="s">
        <v>316</v>
      </c>
      <c r="B131" s="4">
        <f>510</f>
        <v>510</v>
      </c>
      <c r="C131" s="4">
        <f>510</f>
        <v>510</v>
      </c>
      <c r="D131" s="5"/>
      <c r="E131" s="5"/>
      <c r="F131" s="5"/>
      <c r="G131" s="4">
        <f t="shared" si="2"/>
        <v>1020</v>
      </c>
    </row>
    <row r="132" spans="1:7" x14ac:dyDescent="0.25">
      <c r="A132" s="3" t="s">
        <v>317</v>
      </c>
      <c r="B132" s="4">
        <f>833.33</f>
        <v>833.33</v>
      </c>
      <c r="C132" s="4">
        <f>833.33</f>
        <v>833.33</v>
      </c>
      <c r="D132" s="4">
        <f>1102.11</f>
        <v>1102.1099999999999</v>
      </c>
      <c r="E132" s="4">
        <f>58.4</f>
        <v>58.4</v>
      </c>
      <c r="F132" s="4">
        <f>17.92</f>
        <v>17.920000000000002</v>
      </c>
      <c r="G132" s="4">
        <f t="shared" si="2"/>
        <v>2845.09</v>
      </c>
    </row>
    <row r="133" spans="1:7" x14ac:dyDescent="0.25">
      <c r="A133" s="3" t="s">
        <v>318</v>
      </c>
      <c r="B133" s="6">
        <f>((B130)+(B131))+(B132)</f>
        <v>1343.33</v>
      </c>
      <c r="C133" s="6">
        <f>((C130)+(C131))+(C132)</f>
        <v>1343.33</v>
      </c>
      <c r="D133" s="6">
        <f>((D130)+(D131))+(D132)</f>
        <v>1102.1099999999999</v>
      </c>
      <c r="E133" s="6">
        <f>((E130)+(E131))+(E132)</f>
        <v>58.4</v>
      </c>
      <c r="F133" s="6">
        <f>((F130)+(F131))+(F132)</f>
        <v>17.920000000000002</v>
      </c>
      <c r="G133" s="6">
        <f t="shared" si="2"/>
        <v>3865.0899999999997</v>
      </c>
    </row>
    <row r="134" spans="1:7" x14ac:dyDescent="0.25">
      <c r="A134" s="3" t="s">
        <v>319</v>
      </c>
      <c r="B134" s="6">
        <f>((((((B115)+(B116))+(B117))+(B123))+(B124))+(B129))+(B133)</f>
        <v>7939.86</v>
      </c>
      <c r="C134" s="6">
        <f>((((((C115)+(C116))+(C117))+(C123))+(C124))+(C129))+(C133)</f>
        <v>7968.43</v>
      </c>
      <c r="D134" s="6">
        <f>((((((D115)+(D116))+(D117))+(D123))+(D124))+(D129))+(D133)</f>
        <v>9445.25</v>
      </c>
      <c r="E134" s="6">
        <f>((((((E115)+(E116))+(E117))+(E123))+(E124))+(E129))+(E133)</f>
        <v>7406.94</v>
      </c>
      <c r="F134" s="6">
        <f>((((((F115)+(F116))+(F117))+(F123))+(F124))+(F129))+(F133)</f>
        <v>7853.2999999999993</v>
      </c>
      <c r="G134" s="6">
        <f t="shared" si="2"/>
        <v>40613.78</v>
      </c>
    </row>
    <row r="135" spans="1:7" x14ac:dyDescent="0.25">
      <c r="A135" s="3" t="s">
        <v>320</v>
      </c>
      <c r="B135" s="5"/>
      <c r="C135" s="5"/>
      <c r="D135" s="5"/>
      <c r="E135" s="5"/>
      <c r="F135" s="5"/>
      <c r="G135" s="4">
        <f t="shared" si="2"/>
        <v>0</v>
      </c>
    </row>
    <row r="136" spans="1:7" x14ac:dyDescent="0.25">
      <c r="A136" s="3" t="s">
        <v>321</v>
      </c>
      <c r="B136" s="4">
        <f>13062.04</f>
        <v>13062.04</v>
      </c>
      <c r="C136" s="4">
        <f>13388.8</f>
        <v>13388.8</v>
      </c>
      <c r="D136" s="4">
        <f>12449.61</f>
        <v>12449.61</v>
      </c>
      <c r="E136" s="4">
        <f>10683.2</f>
        <v>10683.2</v>
      </c>
      <c r="F136" s="4">
        <f>15570.41</f>
        <v>15570.41</v>
      </c>
      <c r="G136" s="4">
        <f t="shared" si="2"/>
        <v>65154.06</v>
      </c>
    </row>
    <row r="137" spans="1:7" x14ac:dyDescent="0.25">
      <c r="A137" s="3" t="s">
        <v>322</v>
      </c>
      <c r="B137" s="4">
        <f>117.45</f>
        <v>117.45</v>
      </c>
      <c r="C137" s="4">
        <f>90</f>
        <v>90</v>
      </c>
      <c r="D137" s="4">
        <f>852</f>
        <v>852</v>
      </c>
      <c r="E137" s="4">
        <f>90</f>
        <v>90</v>
      </c>
      <c r="F137" s="4">
        <f>90</f>
        <v>90</v>
      </c>
      <c r="G137" s="4">
        <f t="shared" si="2"/>
        <v>1239.45</v>
      </c>
    </row>
    <row r="138" spans="1:7" x14ac:dyDescent="0.25">
      <c r="A138" s="3" t="s">
        <v>323</v>
      </c>
      <c r="B138" s="4">
        <f>662</f>
        <v>662</v>
      </c>
      <c r="C138" s="4">
        <f>1092</f>
        <v>1092</v>
      </c>
      <c r="D138" s="4">
        <f>2442</f>
        <v>2442</v>
      </c>
      <c r="E138" s="4">
        <f>1092</f>
        <v>1092</v>
      </c>
      <c r="F138" s="4">
        <f>1476</f>
        <v>1476</v>
      </c>
      <c r="G138" s="4">
        <f t="shared" si="2"/>
        <v>6764</v>
      </c>
    </row>
    <row r="139" spans="1:7" x14ac:dyDescent="0.25">
      <c r="A139" s="3" t="s">
        <v>324</v>
      </c>
      <c r="B139" s="4">
        <f>418.81</f>
        <v>418.81</v>
      </c>
      <c r="C139" s="4">
        <f>2309.68</f>
        <v>2309.6799999999998</v>
      </c>
      <c r="D139" s="4">
        <f>684.63</f>
        <v>684.63</v>
      </c>
      <c r="E139" s="4">
        <f>180.91</f>
        <v>180.91</v>
      </c>
      <c r="F139" s="5"/>
      <c r="G139" s="4">
        <f t="shared" si="2"/>
        <v>3594.0299999999997</v>
      </c>
    </row>
    <row r="140" spans="1:7" x14ac:dyDescent="0.25">
      <c r="A140" s="3" t="s">
        <v>325</v>
      </c>
      <c r="B140" s="4">
        <f>275</f>
        <v>275</v>
      </c>
      <c r="C140" s="5"/>
      <c r="D140" s="5"/>
      <c r="E140" s="5"/>
      <c r="F140" s="5"/>
      <c r="G140" s="4">
        <f t="shared" si="2"/>
        <v>275</v>
      </c>
    </row>
    <row r="141" spans="1:7" x14ac:dyDescent="0.25">
      <c r="A141" s="3" t="s">
        <v>326</v>
      </c>
      <c r="B141" s="4">
        <f>4332.98</f>
        <v>4332.9799999999996</v>
      </c>
      <c r="C141" s="4">
        <f>5357.28</f>
        <v>5357.28</v>
      </c>
      <c r="D141" s="4">
        <f>4447.44</f>
        <v>4447.4399999999996</v>
      </c>
      <c r="E141" s="4">
        <f>1769.34</f>
        <v>1769.34</v>
      </c>
      <c r="F141" s="4">
        <f>1459.49</f>
        <v>1459.49</v>
      </c>
      <c r="G141" s="4">
        <f t="shared" si="2"/>
        <v>17366.53</v>
      </c>
    </row>
    <row r="142" spans="1:7" x14ac:dyDescent="0.25">
      <c r="A142" s="3" t="s">
        <v>327</v>
      </c>
      <c r="B142" s="4">
        <f>450</f>
        <v>450</v>
      </c>
      <c r="C142" s="4">
        <f>50</f>
        <v>50</v>
      </c>
      <c r="D142" s="5"/>
      <c r="E142" s="5"/>
      <c r="F142" s="5"/>
      <c r="G142" s="4">
        <f t="shared" si="2"/>
        <v>500</v>
      </c>
    </row>
    <row r="143" spans="1:7" x14ac:dyDescent="0.25">
      <c r="A143" s="3" t="s">
        <v>328</v>
      </c>
      <c r="B143" s="4">
        <f>160.28</f>
        <v>160.28</v>
      </c>
      <c r="C143" s="4">
        <f>14.14</f>
        <v>14.14</v>
      </c>
      <c r="D143" s="5"/>
      <c r="E143" s="5"/>
      <c r="F143" s="4">
        <f>1297.22</f>
        <v>1297.22</v>
      </c>
      <c r="G143" s="4">
        <f t="shared" si="2"/>
        <v>1471.64</v>
      </c>
    </row>
    <row r="144" spans="1:7" x14ac:dyDescent="0.25">
      <c r="A144" s="3" t="s">
        <v>329</v>
      </c>
      <c r="B144" s="6">
        <f>(((B140)+(B141))+(B142))+(B143)</f>
        <v>5218.2599999999993</v>
      </c>
      <c r="C144" s="6">
        <f>(((C140)+(C141))+(C142))+(C143)</f>
        <v>5421.42</v>
      </c>
      <c r="D144" s="6">
        <f>(((D140)+(D141))+(D142))+(D143)</f>
        <v>4447.4399999999996</v>
      </c>
      <c r="E144" s="6">
        <f>(((E140)+(E141))+(E142))+(E143)</f>
        <v>1769.34</v>
      </c>
      <c r="F144" s="6">
        <f>(((F140)+(F141))+(F142))+(F143)</f>
        <v>2756.71</v>
      </c>
      <c r="G144" s="6">
        <f t="shared" si="2"/>
        <v>19613.169999999998</v>
      </c>
    </row>
    <row r="145" spans="1:7" x14ac:dyDescent="0.25">
      <c r="A145" s="3" t="s">
        <v>330</v>
      </c>
      <c r="B145" s="6">
        <f>(((((B135)+(B136))+(B137))+(B138))+(B139))+(B144)</f>
        <v>19478.560000000001</v>
      </c>
      <c r="C145" s="6">
        <f>(((((C135)+(C136))+(C137))+(C138))+(C139))+(C144)</f>
        <v>22301.9</v>
      </c>
      <c r="D145" s="6">
        <f>(((((D135)+(D136))+(D137))+(D138))+(D139))+(D144)</f>
        <v>20875.68</v>
      </c>
      <c r="E145" s="6">
        <f>(((((E135)+(E136))+(E137))+(E138))+(E139))+(E144)</f>
        <v>13815.45</v>
      </c>
      <c r="F145" s="6">
        <f>(((((F135)+(F136))+(F137))+(F138))+(F139))+(F144)</f>
        <v>19893.12</v>
      </c>
      <c r="G145" s="6">
        <f t="shared" si="2"/>
        <v>96364.71</v>
      </c>
    </row>
    <row r="146" spans="1:7" x14ac:dyDescent="0.25">
      <c r="A146" s="3" t="s">
        <v>331</v>
      </c>
      <c r="B146" s="5"/>
      <c r="C146" s="5"/>
      <c r="D146" s="5"/>
      <c r="E146" s="5"/>
      <c r="F146" s="5"/>
      <c r="G146" s="4">
        <f t="shared" si="2"/>
        <v>0</v>
      </c>
    </row>
    <row r="147" spans="1:7" x14ac:dyDescent="0.25">
      <c r="A147" s="3" t="s">
        <v>332</v>
      </c>
      <c r="B147" s="4">
        <f>935.6</f>
        <v>935.6</v>
      </c>
      <c r="C147" s="4">
        <f>934.34</f>
        <v>934.34</v>
      </c>
      <c r="D147" s="4">
        <f>931.05</f>
        <v>931.05</v>
      </c>
      <c r="E147" s="4">
        <f>2988.16</f>
        <v>2988.16</v>
      </c>
      <c r="F147" s="4">
        <f>932.25</f>
        <v>932.25</v>
      </c>
      <c r="G147" s="4">
        <f t="shared" si="2"/>
        <v>6721.4</v>
      </c>
    </row>
    <row r="148" spans="1:7" x14ac:dyDescent="0.25">
      <c r="A148" s="3" t="s">
        <v>333</v>
      </c>
      <c r="B148" s="4">
        <f>7688.46</f>
        <v>7688.46</v>
      </c>
      <c r="C148" s="4">
        <f>7654.21</f>
        <v>7654.21</v>
      </c>
      <c r="D148" s="4">
        <f>7383.61</f>
        <v>7383.61</v>
      </c>
      <c r="E148" s="4">
        <f>8941.88</f>
        <v>8941.8799999999992</v>
      </c>
      <c r="F148" s="4">
        <f>5995.73</f>
        <v>5995.73</v>
      </c>
      <c r="G148" s="4">
        <f t="shared" si="2"/>
        <v>37663.89</v>
      </c>
    </row>
    <row r="149" spans="1:7" x14ac:dyDescent="0.25">
      <c r="A149" s="3" t="s">
        <v>334</v>
      </c>
      <c r="B149" s="4">
        <f>19384.17</f>
        <v>19384.169999999998</v>
      </c>
      <c r="C149" s="4">
        <f>19146.67</f>
        <v>19146.669999999998</v>
      </c>
      <c r="D149" s="4">
        <f>20964.75</f>
        <v>20964.75</v>
      </c>
      <c r="E149" s="4">
        <f>20964.75</f>
        <v>20964.75</v>
      </c>
      <c r="F149" s="4">
        <f>21019.62</f>
        <v>21019.62</v>
      </c>
      <c r="G149" s="4">
        <f t="shared" si="2"/>
        <v>101479.95999999999</v>
      </c>
    </row>
    <row r="150" spans="1:7" x14ac:dyDescent="0.25">
      <c r="A150" s="3" t="s">
        <v>335</v>
      </c>
      <c r="B150" s="4">
        <f>66.08</f>
        <v>66.08</v>
      </c>
      <c r="C150" s="4">
        <f>129.9</f>
        <v>129.9</v>
      </c>
      <c r="D150" s="5"/>
      <c r="E150" s="5"/>
      <c r="F150" s="5"/>
      <c r="G150" s="4">
        <f t="shared" si="2"/>
        <v>195.98000000000002</v>
      </c>
    </row>
    <row r="151" spans="1:7" x14ac:dyDescent="0.25">
      <c r="A151" s="3" t="s">
        <v>336</v>
      </c>
      <c r="B151" s="6">
        <f>((((B146)+(B147))+(B148))+(B149))+(B150)</f>
        <v>28074.309999999998</v>
      </c>
      <c r="C151" s="6">
        <f>((((C146)+(C147))+(C148))+(C149))+(C150)</f>
        <v>27865.119999999999</v>
      </c>
      <c r="D151" s="6">
        <f>((((D146)+(D147))+(D148))+(D149))+(D150)</f>
        <v>29279.41</v>
      </c>
      <c r="E151" s="6">
        <f>((((E146)+(E147))+(E148))+(E149))+(E150)</f>
        <v>32894.79</v>
      </c>
      <c r="F151" s="6">
        <f>((((F146)+(F147))+(F148))+(F149))+(F150)</f>
        <v>27947.599999999999</v>
      </c>
      <c r="G151" s="6">
        <f t="shared" si="2"/>
        <v>146061.23000000001</v>
      </c>
    </row>
    <row r="152" spans="1:7" x14ac:dyDescent="0.25">
      <c r="A152" s="3" t="s">
        <v>337</v>
      </c>
      <c r="B152" s="6">
        <f>((((((((B64)+(B70))+(B86))+(B91))+(B113))+(B114))+(B134))+(B145))+(B151)</f>
        <v>262106.44999999998</v>
      </c>
      <c r="C152" s="6">
        <f>((((((((C64)+(C70))+(C86))+(C91))+(C113))+(C114))+(C134))+(C145))+(C151)</f>
        <v>254691.39</v>
      </c>
      <c r="D152" s="6">
        <f>((((((((D64)+(D70))+(D86))+(D91))+(D113))+(D114))+(D134))+(D145))+(D151)</f>
        <v>251731.41000000003</v>
      </c>
      <c r="E152" s="6">
        <f>((((((((E64)+(E70))+(E86))+(E91))+(E113))+(E114))+(E134))+(E145))+(E151)</f>
        <v>239561.71000000002</v>
      </c>
      <c r="F152" s="6">
        <f>((((((((F64)+(F70))+(F86))+(F91))+(F113))+(F114))+(F134))+(F145))+(F151)</f>
        <v>333635.91999999993</v>
      </c>
      <c r="G152" s="6">
        <f t="shared" si="2"/>
        <v>1341726.8799999999</v>
      </c>
    </row>
    <row r="153" spans="1:7" x14ac:dyDescent="0.25">
      <c r="A153" s="3" t="s">
        <v>338</v>
      </c>
      <c r="B153" s="6">
        <f>(B50)-(B152)</f>
        <v>2694.2200000000012</v>
      </c>
      <c r="C153" s="6">
        <f>(C50)-(C152)</f>
        <v>15724.379999999946</v>
      </c>
      <c r="D153" s="6">
        <f>(D50)-(D152)</f>
        <v>29311.599999999977</v>
      </c>
      <c r="E153" s="6">
        <f>(E50)-(E152)</f>
        <v>25865.77999999997</v>
      </c>
      <c r="F153" s="6">
        <f>(F50)-(F152)</f>
        <v>-73267.269999999931</v>
      </c>
      <c r="G153" s="6">
        <f t="shared" si="2"/>
        <v>328.70999999996275</v>
      </c>
    </row>
    <row r="154" spans="1:7" x14ac:dyDescent="0.25">
      <c r="A154" s="3" t="s">
        <v>339</v>
      </c>
      <c r="B154" s="6">
        <f>(B153)+(0)</f>
        <v>2694.2200000000012</v>
      </c>
      <c r="C154" s="6">
        <f>(C153)+(0)</f>
        <v>15724.379999999946</v>
      </c>
      <c r="D154" s="6">
        <f>(D153)+(0)</f>
        <v>29311.599999999977</v>
      </c>
      <c r="E154" s="6">
        <f>(E153)+(0)</f>
        <v>25865.77999999997</v>
      </c>
      <c r="F154" s="6">
        <f>(F153)+(0)</f>
        <v>-73267.269999999931</v>
      </c>
      <c r="G154" s="6">
        <f t="shared" si="2"/>
        <v>328.70999999996275</v>
      </c>
    </row>
    <row r="155" spans="1:7" x14ac:dyDescent="0.25">
      <c r="A155" s="3"/>
      <c r="B155" s="5"/>
      <c r="C155" s="5"/>
      <c r="D155" s="5"/>
      <c r="E155" s="5"/>
      <c r="F155" s="5"/>
      <c r="G155" s="5"/>
    </row>
    <row r="158" spans="1:7" x14ac:dyDescent="0.25">
      <c r="A158" s="19" t="s">
        <v>340</v>
      </c>
      <c r="B158" s="17"/>
      <c r="C158" s="17"/>
      <c r="D158" s="17"/>
      <c r="E158" s="17"/>
      <c r="F158" s="17"/>
      <c r="G158" s="17"/>
    </row>
  </sheetData>
  <mergeCells count="4">
    <mergeCell ref="A1:G1"/>
    <mergeCell ref="A2:G2"/>
    <mergeCell ref="A3:G3"/>
    <mergeCell ref="A158:G1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B8E76-4B7A-46C9-83EF-3BB7DFD1094D}">
  <dimension ref="A1:S175"/>
  <sheetViews>
    <sheetView workbookViewId="0">
      <selection sqref="A1:S1"/>
    </sheetView>
  </sheetViews>
  <sheetFormatPr defaultRowHeight="15" x14ac:dyDescent="0.25"/>
  <cols>
    <col min="1" max="1" width="42.140625" customWidth="1"/>
    <col min="2" max="2" width="10.28515625" customWidth="1"/>
    <col min="3" max="4" width="12" customWidth="1"/>
    <col min="5" max="5" width="10.28515625" customWidth="1"/>
    <col min="6" max="7" width="11.140625" customWidth="1"/>
    <col min="8" max="9" width="10.28515625" customWidth="1"/>
    <col min="10" max="10" width="11.140625" customWidth="1"/>
    <col min="11" max="12" width="10.28515625" customWidth="1"/>
    <col min="13" max="14" width="11.140625" customWidth="1"/>
    <col min="15" max="15" width="10.28515625" customWidth="1"/>
    <col min="16" max="19" width="12" customWidth="1"/>
  </cols>
  <sheetData>
    <row r="1" spans="1:19" ht="18" x14ac:dyDescent="0.25">
      <c r="A1" s="16" t="s">
        <v>147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8" x14ac:dyDescent="0.25">
      <c r="A2" s="16" t="s">
        <v>184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x14ac:dyDescent="0.25">
      <c r="A3" s="18" t="s">
        <v>185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5.75" thickBot="1" x14ac:dyDescent="0.3"/>
    <row r="5" spans="1:19" x14ac:dyDescent="0.25">
      <c r="A5" s="1"/>
      <c r="B5" s="20" t="s">
        <v>186</v>
      </c>
      <c r="C5" s="21"/>
      <c r="D5" s="22"/>
      <c r="E5" s="20" t="s">
        <v>187</v>
      </c>
      <c r="F5" s="21"/>
      <c r="G5" s="22"/>
      <c r="H5" s="20" t="s">
        <v>188</v>
      </c>
      <c r="I5" s="21"/>
      <c r="J5" s="22"/>
      <c r="K5" s="20" t="s">
        <v>189</v>
      </c>
      <c r="L5" s="21"/>
      <c r="M5" s="22"/>
      <c r="N5" s="20" t="s">
        <v>190</v>
      </c>
      <c r="O5" s="21"/>
      <c r="P5" s="22"/>
      <c r="Q5" s="20" t="s">
        <v>156</v>
      </c>
      <c r="R5" s="21"/>
      <c r="S5" s="22"/>
    </row>
    <row r="6" spans="1:19" ht="25.5" thickBot="1" x14ac:dyDescent="0.3">
      <c r="A6" s="1"/>
      <c r="B6" s="7" t="s">
        <v>151</v>
      </c>
      <c r="C6" s="8" t="s">
        <v>341</v>
      </c>
      <c r="D6" s="9" t="s">
        <v>342</v>
      </c>
      <c r="E6" s="7" t="s">
        <v>151</v>
      </c>
      <c r="F6" s="8" t="s">
        <v>343</v>
      </c>
      <c r="G6" s="9" t="s">
        <v>342</v>
      </c>
      <c r="H6" s="7" t="s">
        <v>151</v>
      </c>
      <c r="I6" s="8" t="s">
        <v>344</v>
      </c>
      <c r="J6" s="9" t="s">
        <v>342</v>
      </c>
      <c r="K6" s="7" t="s">
        <v>151</v>
      </c>
      <c r="L6" s="8" t="s">
        <v>345</v>
      </c>
      <c r="M6" s="9" t="s">
        <v>342</v>
      </c>
      <c r="N6" s="7" t="s">
        <v>151</v>
      </c>
      <c r="O6" s="8" t="s">
        <v>346</v>
      </c>
      <c r="P6" s="9" t="s">
        <v>342</v>
      </c>
      <c r="Q6" s="7" t="s">
        <v>151</v>
      </c>
      <c r="R6" s="8" t="s">
        <v>347</v>
      </c>
      <c r="S6" s="9" t="s">
        <v>342</v>
      </c>
    </row>
    <row r="7" spans="1:19" x14ac:dyDescent="0.25">
      <c r="A7" s="3" t="s">
        <v>191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x14ac:dyDescent="0.25">
      <c r="A8" s="3" t="s">
        <v>192</v>
      </c>
      <c r="B8" s="5"/>
      <c r="C8" s="5"/>
      <c r="D8" s="4">
        <f t="shared" ref="D8:D59" si="0">(B8)-(C8)</f>
        <v>0</v>
      </c>
      <c r="E8" s="5"/>
      <c r="F8" s="5"/>
      <c r="G8" s="4">
        <f t="shared" ref="G8:G59" si="1">(E8)-(F8)</f>
        <v>0</v>
      </c>
      <c r="H8" s="5"/>
      <c r="I8" s="5"/>
      <c r="J8" s="4">
        <f t="shared" ref="J8:J59" si="2">(H8)-(I8)</f>
        <v>0</v>
      </c>
      <c r="K8" s="5"/>
      <c r="L8" s="5"/>
      <c r="M8" s="4">
        <f t="shared" ref="M8:M59" si="3">(K8)-(L8)</f>
        <v>0</v>
      </c>
      <c r="N8" s="5"/>
      <c r="O8" s="5"/>
      <c r="P8" s="4">
        <f t="shared" ref="P8:P59" si="4">(N8)-(O8)</f>
        <v>0</v>
      </c>
      <c r="Q8" s="4">
        <f t="shared" ref="Q8:R39" si="5">((((B8)+(E8))+(H8))+(K8))+(N8)</f>
        <v>0</v>
      </c>
      <c r="R8" s="4">
        <f t="shared" si="5"/>
        <v>0</v>
      </c>
      <c r="S8" s="4">
        <f t="shared" ref="S8:S59" si="6">(Q8)-(R8)</f>
        <v>0</v>
      </c>
    </row>
    <row r="9" spans="1:19" x14ac:dyDescent="0.25">
      <c r="A9" s="3" t="s">
        <v>193</v>
      </c>
      <c r="B9" s="4">
        <f>210319.07</f>
        <v>210319.07</v>
      </c>
      <c r="C9" s="4">
        <f>248961.39</f>
        <v>248961.39</v>
      </c>
      <c r="D9" s="4">
        <f t="shared" si="0"/>
        <v>-38642.320000000007</v>
      </c>
      <c r="E9" s="4">
        <f>213377.96</f>
        <v>213377.96</v>
      </c>
      <c r="F9" s="4">
        <f>248961.39</f>
        <v>248961.39</v>
      </c>
      <c r="G9" s="4">
        <f t="shared" si="1"/>
        <v>-35583.430000000022</v>
      </c>
      <c r="H9" s="4">
        <f>210464.16</f>
        <v>210464.16</v>
      </c>
      <c r="I9" s="4">
        <f>257969.39</f>
        <v>257969.39</v>
      </c>
      <c r="J9" s="4">
        <f t="shared" si="2"/>
        <v>-47505.23000000001</v>
      </c>
      <c r="K9" s="4">
        <f>207259</f>
        <v>207259</v>
      </c>
      <c r="L9" s="4">
        <f>261531.03</f>
        <v>261531.03</v>
      </c>
      <c r="M9" s="4">
        <f t="shared" si="3"/>
        <v>-54272.03</v>
      </c>
      <c r="N9" s="4">
        <f>208467.3</f>
        <v>208467.3</v>
      </c>
      <c r="O9" s="4">
        <f>262003.79</f>
        <v>262003.79</v>
      </c>
      <c r="P9" s="4">
        <f t="shared" si="4"/>
        <v>-53536.49000000002</v>
      </c>
      <c r="Q9" s="4">
        <f t="shared" si="5"/>
        <v>1049887.49</v>
      </c>
      <c r="R9" s="4">
        <f t="shared" si="5"/>
        <v>1279426.99</v>
      </c>
      <c r="S9" s="4">
        <f t="shared" si="6"/>
        <v>-229539.5</v>
      </c>
    </row>
    <row r="10" spans="1:19" x14ac:dyDescent="0.25">
      <c r="A10" s="3" t="s">
        <v>194</v>
      </c>
      <c r="B10" s="5"/>
      <c r="C10" s="5"/>
      <c r="D10" s="4">
        <f t="shared" si="0"/>
        <v>0</v>
      </c>
      <c r="E10" s="5"/>
      <c r="F10" s="5"/>
      <c r="G10" s="4">
        <f t="shared" si="1"/>
        <v>0</v>
      </c>
      <c r="H10" s="5"/>
      <c r="I10" s="4">
        <f>344</f>
        <v>344</v>
      </c>
      <c r="J10" s="4">
        <f t="shared" si="2"/>
        <v>-344</v>
      </c>
      <c r="K10" s="5"/>
      <c r="L10" s="4">
        <f>-344</f>
        <v>-344</v>
      </c>
      <c r="M10" s="4">
        <f t="shared" si="3"/>
        <v>344</v>
      </c>
      <c r="N10" s="5"/>
      <c r="O10" s="5"/>
      <c r="P10" s="4">
        <f t="shared" si="4"/>
        <v>0</v>
      </c>
      <c r="Q10" s="4">
        <f t="shared" si="5"/>
        <v>0</v>
      </c>
      <c r="R10" s="4">
        <f t="shared" si="5"/>
        <v>0</v>
      </c>
      <c r="S10" s="4">
        <f t="shared" si="6"/>
        <v>0</v>
      </c>
    </row>
    <row r="11" spans="1:19" x14ac:dyDescent="0.25">
      <c r="A11" s="3" t="s">
        <v>195</v>
      </c>
      <c r="B11" s="4">
        <f>-1245</f>
        <v>-1245</v>
      </c>
      <c r="C11" s="4">
        <f>-10071.4</f>
        <v>-10071.4</v>
      </c>
      <c r="D11" s="4">
        <f t="shared" si="0"/>
        <v>8826.4</v>
      </c>
      <c r="E11" s="4">
        <f>-1245</f>
        <v>-1245</v>
      </c>
      <c r="F11" s="4">
        <f>-10071.4</f>
        <v>-10071.4</v>
      </c>
      <c r="G11" s="4">
        <f t="shared" si="1"/>
        <v>8826.4</v>
      </c>
      <c r="H11" s="4">
        <f>-1245</f>
        <v>-1245</v>
      </c>
      <c r="I11" s="4">
        <f>-10071.4</f>
        <v>-10071.4</v>
      </c>
      <c r="J11" s="4">
        <f t="shared" si="2"/>
        <v>8826.4</v>
      </c>
      <c r="K11" s="4">
        <f>-1245</f>
        <v>-1245</v>
      </c>
      <c r="L11" s="4">
        <f>-10071.4</f>
        <v>-10071.4</v>
      </c>
      <c r="M11" s="4">
        <f t="shared" si="3"/>
        <v>8826.4</v>
      </c>
      <c r="N11" s="4">
        <f>-1245</f>
        <v>-1245</v>
      </c>
      <c r="O11" s="4">
        <f>-10071.4</f>
        <v>-10071.4</v>
      </c>
      <c r="P11" s="4">
        <f t="shared" si="4"/>
        <v>8826.4</v>
      </c>
      <c r="Q11" s="4">
        <f t="shared" si="5"/>
        <v>-6225</v>
      </c>
      <c r="R11" s="4">
        <f t="shared" si="5"/>
        <v>-50357</v>
      </c>
      <c r="S11" s="4">
        <f t="shared" si="6"/>
        <v>44132</v>
      </c>
    </row>
    <row r="12" spans="1:19" x14ac:dyDescent="0.25">
      <c r="A12" s="3" t="s">
        <v>196</v>
      </c>
      <c r="B12" s="4">
        <f>-2100</f>
        <v>-2100</v>
      </c>
      <c r="C12" s="4">
        <f>-2345</f>
        <v>-2345</v>
      </c>
      <c r="D12" s="4">
        <f t="shared" si="0"/>
        <v>245</v>
      </c>
      <c r="E12" s="4">
        <f>-2100</f>
        <v>-2100</v>
      </c>
      <c r="F12" s="4">
        <f>-2345</f>
        <v>-2345</v>
      </c>
      <c r="G12" s="4">
        <f t="shared" si="1"/>
        <v>245</v>
      </c>
      <c r="H12" s="4">
        <f>-2100</f>
        <v>-2100</v>
      </c>
      <c r="I12" s="4">
        <f>-2345</f>
        <v>-2345</v>
      </c>
      <c r="J12" s="4">
        <f t="shared" si="2"/>
        <v>245</v>
      </c>
      <c r="K12" s="4">
        <f>-2100</f>
        <v>-2100</v>
      </c>
      <c r="L12" s="4">
        <f>-2345</f>
        <v>-2345</v>
      </c>
      <c r="M12" s="4">
        <f t="shared" si="3"/>
        <v>245</v>
      </c>
      <c r="N12" s="4">
        <f>-2100</f>
        <v>-2100</v>
      </c>
      <c r="O12" s="4">
        <f>-2345</f>
        <v>-2345</v>
      </c>
      <c r="P12" s="4">
        <f t="shared" si="4"/>
        <v>245</v>
      </c>
      <c r="Q12" s="4">
        <f t="shared" si="5"/>
        <v>-10500</v>
      </c>
      <c r="R12" s="4">
        <f t="shared" si="5"/>
        <v>-11725</v>
      </c>
      <c r="S12" s="4">
        <f t="shared" si="6"/>
        <v>1225</v>
      </c>
    </row>
    <row r="13" spans="1:19" x14ac:dyDescent="0.25">
      <c r="A13" s="3" t="s">
        <v>197</v>
      </c>
      <c r="B13" s="4">
        <f>-10772.3</f>
        <v>-10772.3</v>
      </c>
      <c r="C13" s="4">
        <f>-25943.98</f>
        <v>-25943.98</v>
      </c>
      <c r="D13" s="4">
        <f t="shared" si="0"/>
        <v>15171.68</v>
      </c>
      <c r="E13" s="4">
        <f>-10772.3</f>
        <v>-10772.3</v>
      </c>
      <c r="F13" s="4">
        <f>-25943.98</f>
        <v>-25943.98</v>
      </c>
      <c r="G13" s="4">
        <f t="shared" si="1"/>
        <v>15171.68</v>
      </c>
      <c r="H13" s="4">
        <f>-10772.3</f>
        <v>-10772.3</v>
      </c>
      <c r="I13" s="4">
        <f>-25943.98</f>
        <v>-25943.98</v>
      </c>
      <c r="J13" s="4">
        <f t="shared" si="2"/>
        <v>15171.68</v>
      </c>
      <c r="K13" s="4">
        <f>-10772.3</f>
        <v>-10772.3</v>
      </c>
      <c r="L13" s="4">
        <f>-25943.98</f>
        <v>-25943.98</v>
      </c>
      <c r="M13" s="4">
        <f t="shared" si="3"/>
        <v>15171.68</v>
      </c>
      <c r="N13" s="4">
        <f>-10772.3</f>
        <v>-10772.3</v>
      </c>
      <c r="O13" s="4">
        <f>-25943.98</f>
        <v>-25943.98</v>
      </c>
      <c r="P13" s="4">
        <f t="shared" si="4"/>
        <v>15171.68</v>
      </c>
      <c r="Q13" s="4">
        <f t="shared" si="5"/>
        <v>-53861.5</v>
      </c>
      <c r="R13" s="4">
        <f t="shared" si="5"/>
        <v>-129719.9</v>
      </c>
      <c r="S13" s="4">
        <f t="shared" si="6"/>
        <v>75858.399999999994</v>
      </c>
    </row>
    <row r="14" spans="1:19" x14ac:dyDescent="0.25">
      <c r="A14" s="3" t="s">
        <v>198</v>
      </c>
      <c r="B14" s="4">
        <f>-4298</f>
        <v>-4298</v>
      </c>
      <c r="C14" s="5"/>
      <c r="D14" s="4">
        <f t="shared" si="0"/>
        <v>-4298</v>
      </c>
      <c r="E14" s="4">
        <f>-4298</f>
        <v>-4298</v>
      </c>
      <c r="F14" s="5"/>
      <c r="G14" s="4">
        <f t="shared" si="1"/>
        <v>-4298</v>
      </c>
      <c r="H14" s="4">
        <f>-4298</f>
        <v>-4298</v>
      </c>
      <c r="I14" s="5"/>
      <c r="J14" s="4">
        <f t="shared" si="2"/>
        <v>-4298</v>
      </c>
      <c r="K14" s="4">
        <f>-4298</f>
        <v>-4298</v>
      </c>
      <c r="L14" s="5"/>
      <c r="M14" s="4">
        <f t="shared" si="3"/>
        <v>-4298</v>
      </c>
      <c r="N14" s="4">
        <f>-4298</f>
        <v>-4298</v>
      </c>
      <c r="O14" s="5"/>
      <c r="P14" s="4">
        <f t="shared" si="4"/>
        <v>-4298</v>
      </c>
      <c r="Q14" s="4">
        <f t="shared" si="5"/>
        <v>-21490</v>
      </c>
      <c r="R14" s="4">
        <f t="shared" si="5"/>
        <v>0</v>
      </c>
      <c r="S14" s="4">
        <f t="shared" si="6"/>
        <v>-21490</v>
      </c>
    </row>
    <row r="15" spans="1:19" x14ac:dyDescent="0.25">
      <c r="A15" s="3" t="s">
        <v>199</v>
      </c>
      <c r="B15" s="4">
        <f>-3537.45</f>
        <v>-3537.45</v>
      </c>
      <c r="C15" s="4">
        <f>-3627.55</f>
        <v>-3627.55</v>
      </c>
      <c r="D15" s="4">
        <f t="shared" si="0"/>
        <v>90.100000000000364</v>
      </c>
      <c r="E15" s="4">
        <f>-3537.45</f>
        <v>-3537.45</v>
      </c>
      <c r="F15" s="4">
        <f>-3627.55</f>
        <v>-3627.55</v>
      </c>
      <c r="G15" s="4">
        <f t="shared" si="1"/>
        <v>90.100000000000364</v>
      </c>
      <c r="H15" s="4">
        <f>-3537.45</f>
        <v>-3537.45</v>
      </c>
      <c r="I15" s="4">
        <f>-3627.55</f>
        <v>-3627.55</v>
      </c>
      <c r="J15" s="4">
        <f t="shared" si="2"/>
        <v>90.100000000000364</v>
      </c>
      <c r="K15" s="4">
        <f>-3537.45</f>
        <v>-3537.45</v>
      </c>
      <c r="L15" s="4">
        <f>-3627.55</f>
        <v>-3627.55</v>
      </c>
      <c r="M15" s="4">
        <f t="shared" si="3"/>
        <v>90.100000000000364</v>
      </c>
      <c r="N15" s="4">
        <f>-3537.45</f>
        <v>-3537.45</v>
      </c>
      <c r="O15" s="4">
        <f>-3627.55</f>
        <v>-3627.55</v>
      </c>
      <c r="P15" s="4">
        <f t="shared" si="4"/>
        <v>90.100000000000364</v>
      </c>
      <c r="Q15" s="4">
        <f t="shared" si="5"/>
        <v>-17687.25</v>
      </c>
      <c r="R15" s="4">
        <f t="shared" si="5"/>
        <v>-18137.75</v>
      </c>
      <c r="S15" s="4">
        <f t="shared" si="6"/>
        <v>450.5</v>
      </c>
    </row>
    <row r="16" spans="1:19" x14ac:dyDescent="0.25">
      <c r="A16" s="3" t="s">
        <v>200</v>
      </c>
      <c r="B16" s="4">
        <f>-2098.4</f>
        <v>-2098.4</v>
      </c>
      <c r="C16" s="5"/>
      <c r="D16" s="4">
        <f t="shared" si="0"/>
        <v>-2098.4</v>
      </c>
      <c r="E16" s="4">
        <f>-2098.4</f>
        <v>-2098.4</v>
      </c>
      <c r="F16" s="5"/>
      <c r="G16" s="4">
        <f t="shared" si="1"/>
        <v>-2098.4</v>
      </c>
      <c r="H16" s="4">
        <f>-2098.4</f>
        <v>-2098.4</v>
      </c>
      <c r="I16" s="5"/>
      <c r="J16" s="4">
        <f t="shared" si="2"/>
        <v>-2098.4</v>
      </c>
      <c r="K16" s="4">
        <f>-2098.4</f>
        <v>-2098.4</v>
      </c>
      <c r="L16" s="5"/>
      <c r="M16" s="4">
        <f t="shared" si="3"/>
        <v>-2098.4</v>
      </c>
      <c r="N16" s="4">
        <f>-2098.4</f>
        <v>-2098.4</v>
      </c>
      <c r="O16" s="5"/>
      <c r="P16" s="4">
        <f t="shared" si="4"/>
        <v>-2098.4</v>
      </c>
      <c r="Q16" s="4">
        <f t="shared" si="5"/>
        <v>-10492</v>
      </c>
      <c r="R16" s="4">
        <f t="shared" si="5"/>
        <v>0</v>
      </c>
      <c r="S16" s="4">
        <f t="shared" si="6"/>
        <v>-10492</v>
      </c>
    </row>
    <row r="17" spans="1:19" x14ac:dyDescent="0.25">
      <c r="A17" s="3" t="s">
        <v>201</v>
      </c>
      <c r="B17" s="4">
        <f>-1402.5</f>
        <v>-1402.5</v>
      </c>
      <c r="C17" s="5"/>
      <c r="D17" s="4">
        <f t="shared" si="0"/>
        <v>-1402.5</v>
      </c>
      <c r="E17" s="4">
        <f>-1402.5</f>
        <v>-1402.5</v>
      </c>
      <c r="F17" s="5"/>
      <c r="G17" s="4">
        <f t="shared" si="1"/>
        <v>-1402.5</v>
      </c>
      <c r="H17" s="4">
        <f>-1402.5</f>
        <v>-1402.5</v>
      </c>
      <c r="I17" s="5"/>
      <c r="J17" s="4">
        <f t="shared" si="2"/>
        <v>-1402.5</v>
      </c>
      <c r="K17" s="4">
        <f>-1402.5</f>
        <v>-1402.5</v>
      </c>
      <c r="L17" s="5"/>
      <c r="M17" s="4">
        <f t="shared" si="3"/>
        <v>-1402.5</v>
      </c>
      <c r="N17" s="4">
        <f>-1402.5</f>
        <v>-1402.5</v>
      </c>
      <c r="O17" s="5"/>
      <c r="P17" s="4">
        <f t="shared" si="4"/>
        <v>-1402.5</v>
      </c>
      <c r="Q17" s="4">
        <f t="shared" si="5"/>
        <v>-7012.5</v>
      </c>
      <c r="R17" s="4">
        <f t="shared" si="5"/>
        <v>0</v>
      </c>
      <c r="S17" s="4">
        <f t="shared" si="6"/>
        <v>-7012.5</v>
      </c>
    </row>
    <row r="18" spans="1:19" x14ac:dyDescent="0.25">
      <c r="A18" s="3" t="s">
        <v>202</v>
      </c>
      <c r="B18" s="4">
        <f>-1361.69</f>
        <v>-1361.69</v>
      </c>
      <c r="C18" s="4">
        <f>-1162.79</f>
        <v>-1162.79</v>
      </c>
      <c r="D18" s="4">
        <f t="shared" si="0"/>
        <v>-198.90000000000009</v>
      </c>
      <c r="E18" s="4">
        <f>-1361.69</f>
        <v>-1361.69</v>
      </c>
      <c r="F18" s="4">
        <f>-1162.79</f>
        <v>-1162.79</v>
      </c>
      <c r="G18" s="4">
        <f t="shared" si="1"/>
        <v>-198.90000000000009</v>
      </c>
      <c r="H18" s="4">
        <f>-1361.69</f>
        <v>-1361.69</v>
      </c>
      <c r="I18" s="4">
        <f>-1162.79</f>
        <v>-1162.79</v>
      </c>
      <c r="J18" s="4">
        <f t="shared" si="2"/>
        <v>-198.90000000000009</v>
      </c>
      <c r="K18" s="4">
        <f>-1361.69</f>
        <v>-1361.69</v>
      </c>
      <c r="L18" s="4">
        <f>-1162.79</f>
        <v>-1162.79</v>
      </c>
      <c r="M18" s="4">
        <f t="shared" si="3"/>
        <v>-198.90000000000009</v>
      </c>
      <c r="N18" s="4">
        <f>-1361.69</f>
        <v>-1361.69</v>
      </c>
      <c r="O18" s="4">
        <f>-1162.79</f>
        <v>-1162.79</v>
      </c>
      <c r="P18" s="4">
        <f t="shared" si="4"/>
        <v>-198.90000000000009</v>
      </c>
      <c r="Q18" s="4">
        <f t="shared" si="5"/>
        <v>-6808.4500000000007</v>
      </c>
      <c r="R18" s="4">
        <f t="shared" si="5"/>
        <v>-5813.95</v>
      </c>
      <c r="S18" s="4">
        <f t="shared" si="6"/>
        <v>-994.50000000000091</v>
      </c>
    </row>
    <row r="19" spans="1:19" x14ac:dyDescent="0.25">
      <c r="A19" s="3" t="s">
        <v>203</v>
      </c>
      <c r="B19" s="4">
        <f>-34.98</f>
        <v>-34.979999999999997</v>
      </c>
      <c r="C19" s="4">
        <f>-3900.18</f>
        <v>-3900.18</v>
      </c>
      <c r="D19" s="4">
        <f t="shared" si="0"/>
        <v>3865.2</v>
      </c>
      <c r="E19" s="4">
        <f>-34.98</f>
        <v>-34.979999999999997</v>
      </c>
      <c r="F19" s="4">
        <f>-3900.18</f>
        <v>-3900.18</v>
      </c>
      <c r="G19" s="4">
        <f t="shared" si="1"/>
        <v>3865.2</v>
      </c>
      <c r="H19" s="4">
        <f>-34.98</f>
        <v>-34.979999999999997</v>
      </c>
      <c r="I19" s="4">
        <f>-3900.18</f>
        <v>-3900.18</v>
      </c>
      <c r="J19" s="4">
        <f t="shared" si="2"/>
        <v>3865.2</v>
      </c>
      <c r="K19" s="4">
        <f>-34.98</f>
        <v>-34.979999999999997</v>
      </c>
      <c r="L19" s="4">
        <f>-3900.18</f>
        <v>-3900.18</v>
      </c>
      <c r="M19" s="4">
        <f t="shared" si="3"/>
        <v>3865.2</v>
      </c>
      <c r="N19" s="4">
        <f>-34.98</f>
        <v>-34.979999999999997</v>
      </c>
      <c r="O19" s="4">
        <f>-3900.18</f>
        <v>-3900.18</v>
      </c>
      <c r="P19" s="4">
        <f t="shared" si="4"/>
        <v>3865.2</v>
      </c>
      <c r="Q19" s="4">
        <f t="shared" si="5"/>
        <v>-174.89999999999998</v>
      </c>
      <c r="R19" s="4">
        <f t="shared" si="5"/>
        <v>-19500.899999999998</v>
      </c>
      <c r="S19" s="4">
        <f t="shared" si="6"/>
        <v>19325.999999999996</v>
      </c>
    </row>
    <row r="20" spans="1:19" x14ac:dyDescent="0.25">
      <c r="A20" s="3" t="s">
        <v>204</v>
      </c>
      <c r="B20" s="4">
        <f>-5561.56</f>
        <v>-5561.56</v>
      </c>
      <c r="C20" s="4">
        <f>-3158.33</f>
        <v>-3158.33</v>
      </c>
      <c r="D20" s="4">
        <f t="shared" si="0"/>
        <v>-2403.2300000000005</v>
      </c>
      <c r="E20" s="4">
        <f>-5876.56</f>
        <v>-5876.56</v>
      </c>
      <c r="F20" s="5"/>
      <c r="G20" s="4">
        <f t="shared" si="1"/>
        <v>-5876.56</v>
      </c>
      <c r="H20" s="4">
        <f>-5561.56</f>
        <v>-5561.56</v>
      </c>
      <c r="I20" s="4">
        <f>-585</f>
        <v>-585</v>
      </c>
      <c r="J20" s="4">
        <f t="shared" si="2"/>
        <v>-4976.5600000000004</v>
      </c>
      <c r="K20" s="4">
        <f>-5561.56</f>
        <v>-5561.56</v>
      </c>
      <c r="L20" s="5"/>
      <c r="M20" s="4">
        <f t="shared" si="3"/>
        <v>-5561.56</v>
      </c>
      <c r="N20" s="4">
        <f>-5561.56</f>
        <v>-5561.56</v>
      </c>
      <c r="O20" s="5"/>
      <c r="P20" s="4">
        <f t="shared" si="4"/>
        <v>-5561.56</v>
      </c>
      <c r="Q20" s="4">
        <f t="shared" si="5"/>
        <v>-28122.800000000003</v>
      </c>
      <c r="R20" s="4">
        <f t="shared" si="5"/>
        <v>-3743.33</v>
      </c>
      <c r="S20" s="4">
        <f t="shared" si="6"/>
        <v>-24379.47</v>
      </c>
    </row>
    <row r="21" spans="1:19" x14ac:dyDescent="0.25">
      <c r="A21" s="3" t="s">
        <v>205</v>
      </c>
      <c r="B21" s="4">
        <f>-69.95</f>
        <v>-69.95</v>
      </c>
      <c r="C21" s="5"/>
      <c r="D21" s="4">
        <f t="shared" si="0"/>
        <v>-69.95</v>
      </c>
      <c r="E21" s="4">
        <f>-69.95</f>
        <v>-69.95</v>
      </c>
      <c r="F21" s="5"/>
      <c r="G21" s="4">
        <f t="shared" si="1"/>
        <v>-69.95</v>
      </c>
      <c r="H21" s="4">
        <f>-69.95</f>
        <v>-69.95</v>
      </c>
      <c r="I21" s="5"/>
      <c r="J21" s="4">
        <f t="shared" si="2"/>
        <v>-69.95</v>
      </c>
      <c r="K21" s="4">
        <f>-69.95</f>
        <v>-69.95</v>
      </c>
      <c r="L21" s="5"/>
      <c r="M21" s="4">
        <f t="shared" si="3"/>
        <v>-69.95</v>
      </c>
      <c r="N21" s="4">
        <f>-69.95</f>
        <v>-69.95</v>
      </c>
      <c r="O21" s="5"/>
      <c r="P21" s="4">
        <f t="shared" si="4"/>
        <v>-69.95</v>
      </c>
      <c r="Q21" s="4">
        <f t="shared" si="5"/>
        <v>-349.75</v>
      </c>
      <c r="R21" s="4">
        <f t="shared" si="5"/>
        <v>0</v>
      </c>
      <c r="S21" s="4">
        <f t="shared" si="6"/>
        <v>-349.75</v>
      </c>
    </row>
    <row r="22" spans="1:19" x14ac:dyDescent="0.25">
      <c r="A22" s="3" t="s">
        <v>206</v>
      </c>
      <c r="B22" s="6">
        <f>(((((((((((B10)+(B11))+(B12))+(B13))+(B14))+(B15))+(B16))+(B17))+(B18))+(B19))+(B20))+(B21)</f>
        <v>-32481.83</v>
      </c>
      <c r="C22" s="6">
        <f>(((((((((((C10)+(C11))+(C12))+(C13))+(C14))+(C15))+(C16))+(C17))+(C18))+(C19))+(C20))+(C21)</f>
        <v>-50209.23</v>
      </c>
      <c r="D22" s="6">
        <f t="shared" si="0"/>
        <v>17727.400000000001</v>
      </c>
      <c r="E22" s="6">
        <f>(((((((((((E10)+(E11))+(E12))+(E13))+(E14))+(E15))+(E16))+(E17))+(E18))+(E19))+(E20))+(E21)</f>
        <v>-32796.83</v>
      </c>
      <c r="F22" s="6">
        <f>(((((((((((F10)+(F11))+(F12))+(F13))+(F14))+(F15))+(F16))+(F17))+(F18))+(F19))+(F20))+(F21)</f>
        <v>-47050.9</v>
      </c>
      <c r="G22" s="6">
        <f t="shared" si="1"/>
        <v>14254.07</v>
      </c>
      <c r="H22" s="6">
        <f>(((((((((((H10)+(H11))+(H12))+(H13))+(H14))+(H15))+(H16))+(H17))+(H18))+(H19))+(H20))+(H21)</f>
        <v>-32481.83</v>
      </c>
      <c r="I22" s="6">
        <f>(((((((((((I10)+(I11))+(I12))+(I13))+(I14))+(I15))+(I16))+(I17))+(I18))+(I19))+(I20))+(I21)</f>
        <v>-47291.9</v>
      </c>
      <c r="J22" s="6">
        <f t="shared" si="2"/>
        <v>14810.07</v>
      </c>
      <c r="K22" s="6">
        <f>(((((((((((K10)+(K11))+(K12))+(K13))+(K14))+(K15))+(K16))+(K17))+(K18))+(K19))+(K20))+(K21)</f>
        <v>-32481.83</v>
      </c>
      <c r="L22" s="6">
        <f>(((((((((((L10)+(L11))+(L12))+(L13))+(L14))+(L15))+(L16))+(L17))+(L18))+(L19))+(L20))+(L21)</f>
        <v>-47394.9</v>
      </c>
      <c r="M22" s="6">
        <f t="shared" si="3"/>
        <v>14913.07</v>
      </c>
      <c r="N22" s="6">
        <f>(((((((((((N10)+(N11))+(N12))+(N13))+(N14))+(N15))+(N16))+(N17))+(N18))+(N19))+(N20))+(N21)</f>
        <v>-32481.83</v>
      </c>
      <c r="O22" s="6">
        <f>(((((((((((O10)+(O11))+(O12))+(O13))+(O14))+(O15))+(O16))+(O17))+(O18))+(O19))+(O20))+(O21)</f>
        <v>-47050.9</v>
      </c>
      <c r="P22" s="6">
        <f t="shared" si="4"/>
        <v>14569.07</v>
      </c>
      <c r="Q22" s="6">
        <f t="shared" si="5"/>
        <v>-162724.15000000002</v>
      </c>
      <c r="R22" s="6">
        <f t="shared" si="5"/>
        <v>-238997.83</v>
      </c>
      <c r="S22" s="6">
        <f t="shared" si="6"/>
        <v>76273.679999999964</v>
      </c>
    </row>
    <row r="23" spans="1:19" x14ac:dyDescent="0.25">
      <c r="A23" s="3" t="s">
        <v>207</v>
      </c>
      <c r="B23" s="6">
        <f>(B9)+(B22)</f>
        <v>177837.24</v>
      </c>
      <c r="C23" s="6">
        <f>(C9)+(C22)</f>
        <v>198752.16</v>
      </c>
      <c r="D23" s="6">
        <f t="shared" si="0"/>
        <v>-20914.920000000013</v>
      </c>
      <c r="E23" s="6">
        <f>(E9)+(E22)</f>
        <v>180581.13</v>
      </c>
      <c r="F23" s="6">
        <f>(F9)+(F22)</f>
        <v>201910.49000000002</v>
      </c>
      <c r="G23" s="6">
        <f t="shared" si="1"/>
        <v>-21329.360000000015</v>
      </c>
      <c r="H23" s="6">
        <f>(H9)+(H22)</f>
        <v>177982.33000000002</v>
      </c>
      <c r="I23" s="6">
        <f>(I9)+(I22)</f>
        <v>210677.49000000002</v>
      </c>
      <c r="J23" s="6">
        <f t="shared" si="2"/>
        <v>-32695.160000000003</v>
      </c>
      <c r="K23" s="6">
        <f>(K9)+(K22)</f>
        <v>174777.16999999998</v>
      </c>
      <c r="L23" s="6">
        <f>(L9)+(L22)</f>
        <v>214136.13</v>
      </c>
      <c r="M23" s="6">
        <f t="shared" si="3"/>
        <v>-39358.960000000021</v>
      </c>
      <c r="N23" s="6">
        <f>(N9)+(N22)</f>
        <v>175985.46999999997</v>
      </c>
      <c r="O23" s="6">
        <f>(O9)+(O22)</f>
        <v>214952.89</v>
      </c>
      <c r="P23" s="6">
        <f t="shared" si="4"/>
        <v>-38967.420000000042</v>
      </c>
      <c r="Q23" s="6">
        <f t="shared" si="5"/>
        <v>887163.33999999985</v>
      </c>
      <c r="R23" s="6">
        <f t="shared" si="5"/>
        <v>1040429.16</v>
      </c>
      <c r="S23" s="6">
        <f t="shared" si="6"/>
        <v>-153265.82000000018</v>
      </c>
    </row>
    <row r="24" spans="1:19" x14ac:dyDescent="0.25">
      <c r="A24" s="3" t="s">
        <v>208</v>
      </c>
      <c r="B24" s="4">
        <f>31064.27</f>
        <v>31064.27</v>
      </c>
      <c r="C24" s="4">
        <f>67331.68</f>
        <v>67331.679999999993</v>
      </c>
      <c r="D24" s="4">
        <f t="shared" si="0"/>
        <v>-36267.409999999989</v>
      </c>
      <c r="E24" s="4">
        <f>38541.21</f>
        <v>38541.21</v>
      </c>
      <c r="F24" s="4">
        <f>81907.93</f>
        <v>81907.929999999993</v>
      </c>
      <c r="G24" s="4">
        <f t="shared" si="1"/>
        <v>-43366.719999999994</v>
      </c>
      <c r="H24" s="4">
        <f>43554.47</f>
        <v>43554.47</v>
      </c>
      <c r="I24" s="4">
        <f>78078.68</f>
        <v>78078.679999999993</v>
      </c>
      <c r="J24" s="4">
        <f t="shared" si="2"/>
        <v>-34524.209999999992</v>
      </c>
      <c r="K24" s="4">
        <f>48556.11</f>
        <v>48556.11</v>
      </c>
      <c r="L24" s="4">
        <f>96911.85</f>
        <v>96911.85</v>
      </c>
      <c r="M24" s="4">
        <f t="shared" si="3"/>
        <v>-48355.740000000005</v>
      </c>
      <c r="N24" s="4">
        <f>47823.81</f>
        <v>47823.81</v>
      </c>
      <c r="O24" s="4">
        <f>75169.68</f>
        <v>75169.679999999993</v>
      </c>
      <c r="P24" s="4">
        <f t="shared" si="4"/>
        <v>-27345.869999999995</v>
      </c>
      <c r="Q24" s="4">
        <f t="shared" si="5"/>
        <v>209539.87</v>
      </c>
      <c r="R24" s="4">
        <f t="shared" si="5"/>
        <v>399399.82</v>
      </c>
      <c r="S24" s="4">
        <f t="shared" si="6"/>
        <v>-189859.95</v>
      </c>
    </row>
    <row r="25" spans="1:19" x14ac:dyDescent="0.25">
      <c r="A25" s="3" t="s">
        <v>348</v>
      </c>
      <c r="B25" s="5"/>
      <c r="C25" s="4">
        <f>-1473.75</f>
        <v>-1473.75</v>
      </c>
      <c r="D25" s="4">
        <f t="shared" si="0"/>
        <v>1473.75</v>
      </c>
      <c r="E25" s="5"/>
      <c r="F25" s="4">
        <f>-4131.5</f>
        <v>-4131.5</v>
      </c>
      <c r="G25" s="4">
        <f t="shared" si="1"/>
        <v>4131.5</v>
      </c>
      <c r="H25" s="5"/>
      <c r="I25" s="4">
        <f>-4204</f>
        <v>-4204</v>
      </c>
      <c r="J25" s="4">
        <f t="shared" si="2"/>
        <v>4204</v>
      </c>
      <c r="K25" s="5"/>
      <c r="L25" s="4">
        <f>-8280.75</f>
        <v>-8280.75</v>
      </c>
      <c r="M25" s="4">
        <f t="shared" si="3"/>
        <v>8280.75</v>
      </c>
      <c r="N25" s="5"/>
      <c r="O25" s="4">
        <f>-7124</f>
        <v>-7124</v>
      </c>
      <c r="P25" s="4">
        <f t="shared" si="4"/>
        <v>7124</v>
      </c>
      <c r="Q25" s="4">
        <f t="shared" si="5"/>
        <v>0</v>
      </c>
      <c r="R25" s="4">
        <f t="shared" si="5"/>
        <v>-25214</v>
      </c>
      <c r="S25" s="4">
        <f t="shared" si="6"/>
        <v>25214</v>
      </c>
    </row>
    <row r="26" spans="1:19" x14ac:dyDescent="0.25">
      <c r="A26" s="3" t="s">
        <v>349</v>
      </c>
      <c r="B26" s="6">
        <f>(B24)+(B25)</f>
        <v>31064.27</v>
      </c>
      <c r="C26" s="6">
        <f>(C24)+(C25)</f>
        <v>65857.929999999993</v>
      </c>
      <c r="D26" s="6">
        <f t="shared" si="0"/>
        <v>-34793.659999999989</v>
      </c>
      <c r="E26" s="6">
        <f>(E24)+(E25)</f>
        <v>38541.21</v>
      </c>
      <c r="F26" s="6">
        <f>(F24)+(F25)</f>
        <v>77776.429999999993</v>
      </c>
      <c r="G26" s="6">
        <f t="shared" si="1"/>
        <v>-39235.219999999994</v>
      </c>
      <c r="H26" s="6">
        <f>(H24)+(H25)</f>
        <v>43554.47</v>
      </c>
      <c r="I26" s="6">
        <f>(I24)+(I25)</f>
        <v>73874.679999999993</v>
      </c>
      <c r="J26" s="6">
        <f t="shared" si="2"/>
        <v>-30320.209999999992</v>
      </c>
      <c r="K26" s="6">
        <f>(K24)+(K25)</f>
        <v>48556.11</v>
      </c>
      <c r="L26" s="6">
        <f>(L24)+(L25)</f>
        <v>88631.1</v>
      </c>
      <c r="M26" s="6">
        <f t="shared" si="3"/>
        <v>-40074.990000000005</v>
      </c>
      <c r="N26" s="6">
        <f>(N24)+(N25)</f>
        <v>47823.81</v>
      </c>
      <c r="O26" s="6">
        <f>(O24)+(O25)</f>
        <v>68045.679999999993</v>
      </c>
      <c r="P26" s="6">
        <f t="shared" si="4"/>
        <v>-20221.869999999995</v>
      </c>
      <c r="Q26" s="6">
        <f t="shared" si="5"/>
        <v>209539.87</v>
      </c>
      <c r="R26" s="6">
        <f t="shared" si="5"/>
        <v>374185.82</v>
      </c>
      <c r="S26" s="6">
        <f t="shared" si="6"/>
        <v>-164645.95000000001</v>
      </c>
    </row>
    <row r="27" spans="1:19" x14ac:dyDescent="0.25">
      <c r="A27" s="3" t="s">
        <v>209</v>
      </c>
      <c r="B27" s="4">
        <f>704</f>
        <v>704</v>
      </c>
      <c r="C27" s="5"/>
      <c r="D27" s="4">
        <f t="shared" si="0"/>
        <v>704</v>
      </c>
      <c r="E27" s="4">
        <f>215</f>
        <v>215</v>
      </c>
      <c r="F27" s="5"/>
      <c r="G27" s="4">
        <f t="shared" si="1"/>
        <v>215</v>
      </c>
      <c r="H27" s="4">
        <f>1322.65</f>
        <v>1322.65</v>
      </c>
      <c r="I27" s="4">
        <f>189</f>
        <v>189</v>
      </c>
      <c r="J27" s="4">
        <f t="shared" si="2"/>
        <v>1133.6500000000001</v>
      </c>
      <c r="K27" s="4">
        <f>1390.85</f>
        <v>1390.85</v>
      </c>
      <c r="L27" s="4">
        <f>36</f>
        <v>36</v>
      </c>
      <c r="M27" s="4">
        <f t="shared" si="3"/>
        <v>1354.85</v>
      </c>
      <c r="N27" s="4">
        <f>512</f>
        <v>512</v>
      </c>
      <c r="O27" s="4">
        <f>20</f>
        <v>20</v>
      </c>
      <c r="P27" s="4">
        <f t="shared" si="4"/>
        <v>492</v>
      </c>
      <c r="Q27" s="4">
        <f t="shared" si="5"/>
        <v>4144.5</v>
      </c>
      <c r="R27" s="4">
        <f t="shared" si="5"/>
        <v>245</v>
      </c>
      <c r="S27" s="4">
        <f t="shared" si="6"/>
        <v>3899.5</v>
      </c>
    </row>
    <row r="28" spans="1:19" x14ac:dyDescent="0.25">
      <c r="A28" s="3" t="s">
        <v>210</v>
      </c>
      <c r="B28" s="4">
        <f>300</f>
        <v>300</v>
      </c>
      <c r="C28" s="4">
        <f>-105</f>
        <v>-105</v>
      </c>
      <c r="D28" s="4">
        <f t="shared" si="0"/>
        <v>405</v>
      </c>
      <c r="E28" s="5"/>
      <c r="F28" s="5"/>
      <c r="G28" s="4">
        <f t="shared" si="1"/>
        <v>0</v>
      </c>
      <c r="H28" s="5"/>
      <c r="I28" s="5"/>
      <c r="J28" s="4">
        <f t="shared" si="2"/>
        <v>0</v>
      </c>
      <c r="K28" s="4">
        <f>70</f>
        <v>70</v>
      </c>
      <c r="L28" s="5"/>
      <c r="M28" s="4">
        <f t="shared" si="3"/>
        <v>70</v>
      </c>
      <c r="N28" s="5"/>
      <c r="O28" s="5"/>
      <c r="P28" s="4">
        <f t="shared" si="4"/>
        <v>0</v>
      </c>
      <c r="Q28" s="4">
        <f t="shared" si="5"/>
        <v>370</v>
      </c>
      <c r="R28" s="4">
        <f t="shared" si="5"/>
        <v>-105</v>
      </c>
      <c r="S28" s="4">
        <f t="shared" si="6"/>
        <v>475</v>
      </c>
    </row>
    <row r="29" spans="1:19" x14ac:dyDescent="0.25">
      <c r="A29" s="3" t="s">
        <v>350</v>
      </c>
      <c r="B29" s="5"/>
      <c r="C29" s="5"/>
      <c r="D29" s="4">
        <f t="shared" si="0"/>
        <v>0</v>
      </c>
      <c r="E29" s="5"/>
      <c r="F29" s="5"/>
      <c r="G29" s="4">
        <f t="shared" si="1"/>
        <v>0</v>
      </c>
      <c r="H29" s="5"/>
      <c r="I29" s="4">
        <f>40</f>
        <v>40</v>
      </c>
      <c r="J29" s="4">
        <f t="shared" si="2"/>
        <v>-40</v>
      </c>
      <c r="K29" s="5"/>
      <c r="L29" s="4">
        <f>35</f>
        <v>35</v>
      </c>
      <c r="M29" s="4">
        <f t="shared" si="3"/>
        <v>-35</v>
      </c>
      <c r="N29" s="5"/>
      <c r="O29" s="5"/>
      <c r="P29" s="4">
        <f t="shared" si="4"/>
        <v>0</v>
      </c>
      <c r="Q29" s="4">
        <f t="shared" si="5"/>
        <v>0</v>
      </c>
      <c r="R29" s="4">
        <f t="shared" si="5"/>
        <v>75</v>
      </c>
      <c r="S29" s="4">
        <f t="shared" si="6"/>
        <v>-75</v>
      </c>
    </row>
    <row r="30" spans="1:19" x14ac:dyDescent="0.25">
      <c r="A30" s="3" t="s">
        <v>211</v>
      </c>
      <c r="B30" s="6">
        <f>(((((B8)+(B23))+(B26))+(B27))+(B28))+(B29)</f>
        <v>209905.50999999998</v>
      </c>
      <c r="C30" s="6">
        <f>(((((C8)+(C23))+(C26))+(C27))+(C28))+(C29)</f>
        <v>264505.08999999997</v>
      </c>
      <c r="D30" s="6">
        <f t="shared" si="0"/>
        <v>-54599.579999999987</v>
      </c>
      <c r="E30" s="6">
        <f>(((((E8)+(E23))+(E26))+(E27))+(E28))+(E29)</f>
        <v>219337.34</v>
      </c>
      <c r="F30" s="6">
        <f>(((((F8)+(F23))+(F26))+(F27))+(F28))+(F29)</f>
        <v>279686.92000000004</v>
      </c>
      <c r="G30" s="6">
        <f t="shared" si="1"/>
        <v>-60349.580000000045</v>
      </c>
      <c r="H30" s="6">
        <f>(((((H8)+(H23))+(H26))+(H27))+(H28))+(H29)</f>
        <v>222859.45</v>
      </c>
      <c r="I30" s="6">
        <f>(((((I8)+(I23))+(I26))+(I27))+(I28))+(I29)</f>
        <v>284781.17000000004</v>
      </c>
      <c r="J30" s="6">
        <f t="shared" si="2"/>
        <v>-61921.72000000003</v>
      </c>
      <c r="K30" s="6">
        <f>(((((K8)+(K23))+(K26))+(K27))+(K28))+(K29)</f>
        <v>224794.12999999998</v>
      </c>
      <c r="L30" s="6">
        <f>(((((L8)+(L23))+(L26))+(L27))+(L28))+(L29)</f>
        <v>302838.23</v>
      </c>
      <c r="M30" s="6">
        <f t="shared" si="3"/>
        <v>-78044.100000000006</v>
      </c>
      <c r="N30" s="6">
        <f>(((((N8)+(N23))+(N26))+(N27))+(N28))+(N29)</f>
        <v>224321.27999999997</v>
      </c>
      <c r="O30" s="6">
        <f>(((((O8)+(O23))+(O26))+(O27))+(O28))+(O29)</f>
        <v>283018.57</v>
      </c>
      <c r="P30" s="6">
        <f t="shared" si="4"/>
        <v>-58697.290000000037</v>
      </c>
      <c r="Q30" s="6">
        <f t="shared" si="5"/>
        <v>1101217.71</v>
      </c>
      <c r="R30" s="6">
        <f t="shared" si="5"/>
        <v>1414829.9800000002</v>
      </c>
      <c r="S30" s="6">
        <f t="shared" si="6"/>
        <v>-313612.27000000025</v>
      </c>
    </row>
    <row r="31" spans="1:19" x14ac:dyDescent="0.25">
      <c r="A31" s="3" t="s">
        <v>212</v>
      </c>
      <c r="B31" s="5"/>
      <c r="C31" s="5"/>
      <c r="D31" s="4">
        <f t="shared" si="0"/>
        <v>0</v>
      </c>
      <c r="E31" s="5"/>
      <c r="F31" s="5"/>
      <c r="G31" s="4">
        <f t="shared" si="1"/>
        <v>0</v>
      </c>
      <c r="H31" s="5"/>
      <c r="I31" s="4">
        <f>190</f>
        <v>190</v>
      </c>
      <c r="J31" s="4">
        <f t="shared" si="2"/>
        <v>-190</v>
      </c>
      <c r="K31" s="5"/>
      <c r="L31" s="5"/>
      <c r="M31" s="4">
        <f t="shared" si="3"/>
        <v>0</v>
      </c>
      <c r="N31" s="5"/>
      <c r="O31" s="5"/>
      <c r="P31" s="4">
        <f t="shared" si="4"/>
        <v>0</v>
      </c>
      <c r="Q31" s="4">
        <f t="shared" si="5"/>
        <v>0</v>
      </c>
      <c r="R31" s="4">
        <f t="shared" si="5"/>
        <v>190</v>
      </c>
      <c r="S31" s="4">
        <f t="shared" si="6"/>
        <v>-190</v>
      </c>
    </row>
    <row r="32" spans="1:19" x14ac:dyDescent="0.25">
      <c r="A32" s="3" t="s">
        <v>213</v>
      </c>
      <c r="B32" s="4">
        <f>17356.6</f>
        <v>17356.599999999999</v>
      </c>
      <c r="C32" s="4">
        <f>975</f>
        <v>975</v>
      </c>
      <c r="D32" s="4">
        <f t="shared" si="0"/>
        <v>16381.599999999999</v>
      </c>
      <c r="E32" s="4">
        <f>17006.6</f>
        <v>17006.599999999999</v>
      </c>
      <c r="F32" s="4">
        <f>140</f>
        <v>140</v>
      </c>
      <c r="G32" s="4">
        <f t="shared" si="1"/>
        <v>16866.599999999999</v>
      </c>
      <c r="H32" s="4">
        <f>17006.6</f>
        <v>17006.599999999999</v>
      </c>
      <c r="I32" s="4">
        <f>720</f>
        <v>720</v>
      </c>
      <c r="J32" s="4">
        <f t="shared" si="2"/>
        <v>16286.599999999999</v>
      </c>
      <c r="K32" s="4">
        <f>17585.97</f>
        <v>17585.97</v>
      </c>
      <c r="L32" s="4">
        <f>1300</f>
        <v>1300</v>
      </c>
      <c r="M32" s="4">
        <f t="shared" si="3"/>
        <v>16285.970000000001</v>
      </c>
      <c r="N32" s="4">
        <f>17006.6</f>
        <v>17006.599999999999</v>
      </c>
      <c r="O32" s="4">
        <f>3120</f>
        <v>3120</v>
      </c>
      <c r="P32" s="4">
        <f t="shared" si="4"/>
        <v>13886.599999999999</v>
      </c>
      <c r="Q32" s="4">
        <f t="shared" si="5"/>
        <v>85962.37</v>
      </c>
      <c r="R32" s="4">
        <f t="shared" si="5"/>
        <v>6255</v>
      </c>
      <c r="S32" s="4">
        <f t="shared" si="6"/>
        <v>79707.37</v>
      </c>
    </row>
    <row r="33" spans="1:19" x14ac:dyDescent="0.25">
      <c r="A33" s="3" t="s">
        <v>214</v>
      </c>
      <c r="B33" s="5"/>
      <c r="C33" s="5"/>
      <c r="D33" s="4">
        <f t="shared" si="0"/>
        <v>0</v>
      </c>
      <c r="E33" s="5"/>
      <c r="F33" s="5"/>
      <c r="G33" s="4">
        <f t="shared" si="1"/>
        <v>0</v>
      </c>
      <c r="H33" s="5"/>
      <c r="I33" s="5"/>
      <c r="J33" s="4">
        <f t="shared" si="2"/>
        <v>0</v>
      </c>
      <c r="K33" s="4">
        <f>40</f>
        <v>40</v>
      </c>
      <c r="L33" s="5"/>
      <c r="M33" s="4">
        <f t="shared" si="3"/>
        <v>40</v>
      </c>
      <c r="N33" s="5"/>
      <c r="O33" s="5"/>
      <c r="P33" s="4">
        <f t="shared" si="4"/>
        <v>0</v>
      </c>
      <c r="Q33" s="4">
        <f t="shared" si="5"/>
        <v>40</v>
      </c>
      <c r="R33" s="4">
        <f t="shared" si="5"/>
        <v>0</v>
      </c>
      <c r="S33" s="4">
        <f t="shared" si="6"/>
        <v>40</v>
      </c>
    </row>
    <row r="34" spans="1:19" x14ac:dyDescent="0.25">
      <c r="A34" s="3" t="s">
        <v>215</v>
      </c>
      <c r="B34" s="4">
        <f>14647.5</f>
        <v>14647.5</v>
      </c>
      <c r="C34" s="4">
        <f>1587.5</f>
        <v>1587.5</v>
      </c>
      <c r="D34" s="4">
        <f t="shared" si="0"/>
        <v>13060</v>
      </c>
      <c r="E34" s="4">
        <f>9953.9</f>
        <v>9953.9</v>
      </c>
      <c r="F34" s="4">
        <f>-17140.87</f>
        <v>-17140.87</v>
      </c>
      <c r="G34" s="4">
        <f t="shared" si="1"/>
        <v>27094.769999999997</v>
      </c>
      <c r="H34" s="4">
        <f>5927.41</f>
        <v>5927.41</v>
      </c>
      <c r="I34" s="4">
        <f>947.29</f>
        <v>947.29</v>
      </c>
      <c r="J34" s="4">
        <f t="shared" si="2"/>
        <v>4980.12</v>
      </c>
      <c r="K34" s="4">
        <f>5382.95</f>
        <v>5382.95</v>
      </c>
      <c r="L34" s="4">
        <f>1244.07</f>
        <v>1244.07</v>
      </c>
      <c r="M34" s="4">
        <f t="shared" si="3"/>
        <v>4138.88</v>
      </c>
      <c r="N34" s="4">
        <f>5294.22</f>
        <v>5294.22</v>
      </c>
      <c r="O34" s="4">
        <f>7992.79</f>
        <v>7992.79</v>
      </c>
      <c r="P34" s="4">
        <f t="shared" si="4"/>
        <v>-2698.5699999999997</v>
      </c>
      <c r="Q34" s="4">
        <f t="shared" si="5"/>
        <v>41205.980000000003</v>
      </c>
      <c r="R34" s="4">
        <f t="shared" si="5"/>
        <v>-5369.2199999999984</v>
      </c>
      <c r="S34" s="4">
        <f t="shared" si="6"/>
        <v>46575.200000000004</v>
      </c>
    </row>
    <row r="35" spans="1:19" x14ac:dyDescent="0.25">
      <c r="A35" s="3" t="s">
        <v>216</v>
      </c>
      <c r="B35" s="6">
        <f>(((B31)+(B32))+(B33))+(B34)</f>
        <v>32004.1</v>
      </c>
      <c r="C35" s="6">
        <f>(((C31)+(C32))+(C33))+(C34)</f>
        <v>2562.5</v>
      </c>
      <c r="D35" s="6">
        <f t="shared" si="0"/>
        <v>29441.599999999999</v>
      </c>
      <c r="E35" s="6">
        <f>(((E31)+(E32))+(E33))+(E34)</f>
        <v>26960.5</v>
      </c>
      <c r="F35" s="6">
        <f>(((F31)+(F32))+(F33))+(F34)</f>
        <v>-17000.87</v>
      </c>
      <c r="G35" s="6">
        <f t="shared" si="1"/>
        <v>43961.369999999995</v>
      </c>
      <c r="H35" s="6">
        <f>(((H31)+(H32))+(H33))+(H34)</f>
        <v>22934.01</v>
      </c>
      <c r="I35" s="6">
        <f>(((I31)+(I32))+(I33))+(I34)</f>
        <v>1857.29</v>
      </c>
      <c r="J35" s="6">
        <f t="shared" si="2"/>
        <v>21076.719999999998</v>
      </c>
      <c r="K35" s="6">
        <f>(((K31)+(K32))+(K33))+(K34)</f>
        <v>23008.920000000002</v>
      </c>
      <c r="L35" s="6">
        <f>(((L31)+(L32))+(L33))+(L34)</f>
        <v>2544.0699999999997</v>
      </c>
      <c r="M35" s="6">
        <f t="shared" si="3"/>
        <v>20464.850000000002</v>
      </c>
      <c r="N35" s="6">
        <f>(((N31)+(N32))+(N33))+(N34)</f>
        <v>22300.82</v>
      </c>
      <c r="O35" s="6">
        <f>(((O31)+(O32))+(O33))+(O34)</f>
        <v>11112.79</v>
      </c>
      <c r="P35" s="6">
        <f t="shared" si="4"/>
        <v>11188.029999999999</v>
      </c>
      <c r="Q35" s="6">
        <f t="shared" si="5"/>
        <v>127208.35</v>
      </c>
      <c r="R35" s="6">
        <f t="shared" si="5"/>
        <v>1075.7800000000025</v>
      </c>
      <c r="S35" s="6">
        <f t="shared" si="6"/>
        <v>126132.57</v>
      </c>
    </row>
    <row r="36" spans="1:19" x14ac:dyDescent="0.25">
      <c r="A36" s="3" t="s">
        <v>217</v>
      </c>
      <c r="B36" s="5"/>
      <c r="C36" s="5"/>
      <c r="D36" s="4">
        <f t="shared" si="0"/>
        <v>0</v>
      </c>
      <c r="E36" s="5"/>
      <c r="F36" s="5"/>
      <c r="G36" s="4">
        <f t="shared" si="1"/>
        <v>0</v>
      </c>
      <c r="H36" s="5"/>
      <c r="I36" s="5"/>
      <c r="J36" s="4">
        <f t="shared" si="2"/>
        <v>0</v>
      </c>
      <c r="K36" s="5"/>
      <c r="L36" s="5"/>
      <c r="M36" s="4">
        <f t="shared" si="3"/>
        <v>0</v>
      </c>
      <c r="N36" s="5"/>
      <c r="O36" s="5"/>
      <c r="P36" s="4">
        <f t="shared" si="4"/>
        <v>0</v>
      </c>
      <c r="Q36" s="4">
        <f t="shared" si="5"/>
        <v>0</v>
      </c>
      <c r="R36" s="4">
        <f t="shared" si="5"/>
        <v>0</v>
      </c>
      <c r="S36" s="4">
        <f t="shared" si="6"/>
        <v>0</v>
      </c>
    </row>
    <row r="37" spans="1:19" x14ac:dyDescent="0.25">
      <c r="A37" s="3" t="s">
        <v>218</v>
      </c>
      <c r="B37" s="4">
        <f>-245</f>
        <v>-245</v>
      </c>
      <c r="C37" s="4">
        <f>1270.51</f>
        <v>1270.51</v>
      </c>
      <c r="D37" s="4">
        <f t="shared" si="0"/>
        <v>-1515.51</v>
      </c>
      <c r="E37" s="4">
        <f>143</f>
        <v>143</v>
      </c>
      <c r="F37" s="4">
        <f>457</f>
        <v>457</v>
      </c>
      <c r="G37" s="4">
        <f t="shared" si="1"/>
        <v>-314</v>
      </c>
      <c r="H37" s="5"/>
      <c r="I37" s="4">
        <f>1069</f>
        <v>1069</v>
      </c>
      <c r="J37" s="4">
        <f t="shared" si="2"/>
        <v>-1069</v>
      </c>
      <c r="K37" s="4">
        <f>235</f>
        <v>235</v>
      </c>
      <c r="L37" s="4">
        <f>2373.31</f>
        <v>2373.31</v>
      </c>
      <c r="M37" s="4">
        <f t="shared" si="3"/>
        <v>-2138.31</v>
      </c>
      <c r="N37" s="4">
        <f>136</f>
        <v>136</v>
      </c>
      <c r="O37" s="4">
        <f>2610.05</f>
        <v>2610.0500000000002</v>
      </c>
      <c r="P37" s="4">
        <f t="shared" si="4"/>
        <v>-2474.0500000000002</v>
      </c>
      <c r="Q37" s="4">
        <f t="shared" si="5"/>
        <v>269</v>
      </c>
      <c r="R37" s="4">
        <f t="shared" si="5"/>
        <v>7779.87</v>
      </c>
      <c r="S37" s="4">
        <f t="shared" si="6"/>
        <v>-7510.87</v>
      </c>
    </row>
    <row r="38" spans="1:19" x14ac:dyDescent="0.25">
      <c r="A38" s="3" t="s">
        <v>219</v>
      </c>
      <c r="B38" s="4">
        <f>625</f>
        <v>625</v>
      </c>
      <c r="C38" s="5"/>
      <c r="D38" s="4">
        <f t="shared" si="0"/>
        <v>625</v>
      </c>
      <c r="E38" s="4">
        <f>150</f>
        <v>150</v>
      </c>
      <c r="F38" s="5"/>
      <c r="G38" s="4">
        <f t="shared" si="1"/>
        <v>150</v>
      </c>
      <c r="H38" s="4">
        <f>1425</f>
        <v>1425</v>
      </c>
      <c r="I38" s="5"/>
      <c r="J38" s="4">
        <f t="shared" si="2"/>
        <v>1425</v>
      </c>
      <c r="K38" s="4">
        <f>1500</f>
        <v>1500</v>
      </c>
      <c r="L38" s="5"/>
      <c r="M38" s="4">
        <f t="shared" si="3"/>
        <v>1500</v>
      </c>
      <c r="N38" s="4">
        <f>1000</f>
        <v>1000</v>
      </c>
      <c r="O38" s="5"/>
      <c r="P38" s="4">
        <f t="shared" si="4"/>
        <v>1000</v>
      </c>
      <c r="Q38" s="4">
        <f t="shared" si="5"/>
        <v>4700</v>
      </c>
      <c r="R38" s="4">
        <f t="shared" si="5"/>
        <v>0</v>
      </c>
      <c r="S38" s="4">
        <f t="shared" si="6"/>
        <v>4700</v>
      </c>
    </row>
    <row r="39" spans="1:19" x14ac:dyDescent="0.25">
      <c r="A39" s="3" t="s">
        <v>220</v>
      </c>
      <c r="B39" s="4">
        <f>-300</f>
        <v>-300</v>
      </c>
      <c r="C39" s="4">
        <f>688.63</f>
        <v>688.63</v>
      </c>
      <c r="D39" s="4">
        <f t="shared" si="0"/>
        <v>-988.63</v>
      </c>
      <c r="E39" s="4">
        <f>26</f>
        <v>26</v>
      </c>
      <c r="F39" s="4">
        <f>897.91</f>
        <v>897.91</v>
      </c>
      <c r="G39" s="4">
        <f t="shared" si="1"/>
        <v>-871.91</v>
      </c>
      <c r="H39" s="5"/>
      <c r="I39" s="4">
        <f>1111.8</f>
        <v>1111.8</v>
      </c>
      <c r="J39" s="4">
        <f t="shared" si="2"/>
        <v>-1111.8</v>
      </c>
      <c r="K39" s="4">
        <f>350</f>
        <v>350</v>
      </c>
      <c r="L39" s="4">
        <f>-1027.73</f>
        <v>-1027.73</v>
      </c>
      <c r="M39" s="4">
        <f t="shared" si="3"/>
        <v>1377.73</v>
      </c>
      <c r="N39" s="4">
        <f>259.73</f>
        <v>259.73</v>
      </c>
      <c r="O39" s="4">
        <f>614.63</f>
        <v>614.63</v>
      </c>
      <c r="P39" s="4">
        <f t="shared" si="4"/>
        <v>-354.9</v>
      </c>
      <c r="Q39" s="4">
        <f t="shared" si="5"/>
        <v>335.73</v>
      </c>
      <c r="R39" s="4">
        <f t="shared" si="5"/>
        <v>2285.2400000000002</v>
      </c>
      <c r="S39" s="4">
        <f t="shared" si="6"/>
        <v>-1949.5100000000002</v>
      </c>
    </row>
    <row r="40" spans="1:19" x14ac:dyDescent="0.25">
      <c r="A40" s="3" t="s">
        <v>221</v>
      </c>
      <c r="B40" s="4">
        <f>875.09</f>
        <v>875.09</v>
      </c>
      <c r="C40" s="4">
        <f>699.8</f>
        <v>699.8</v>
      </c>
      <c r="D40" s="4">
        <f t="shared" si="0"/>
        <v>175.29000000000008</v>
      </c>
      <c r="E40" s="4">
        <f>24.35</f>
        <v>24.35</v>
      </c>
      <c r="F40" s="4">
        <f>1023.96</f>
        <v>1023.96</v>
      </c>
      <c r="G40" s="4">
        <f t="shared" si="1"/>
        <v>-999.61</v>
      </c>
      <c r="H40" s="4">
        <f>41</f>
        <v>41</v>
      </c>
      <c r="I40" s="4">
        <f>1532.75</f>
        <v>1532.75</v>
      </c>
      <c r="J40" s="4">
        <f t="shared" si="2"/>
        <v>-1491.75</v>
      </c>
      <c r="K40" s="4">
        <f>-525</f>
        <v>-525</v>
      </c>
      <c r="L40" s="4">
        <f>1262.05</f>
        <v>1262.05</v>
      </c>
      <c r="M40" s="4">
        <f t="shared" si="3"/>
        <v>-1787.05</v>
      </c>
      <c r="N40" s="4">
        <f>220</f>
        <v>220</v>
      </c>
      <c r="O40" s="4">
        <f>1672.25</f>
        <v>1672.25</v>
      </c>
      <c r="P40" s="4">
        <f t="shared" si="4"/>
        <v>-1452.25</v>
      </c>
      <c r="Q40" s="4">
        <f t="shared" ref="Q40:R59" si="7">((((B40)+(E40))+(H40))+(K40))+(N40)</f>
        <v>635.44000000000005</v>
      </c>
      <c r="R40" s="4">
        <f t="shared" si="7"/>
        <v>6190.81</v>
      </c>
      <c r="S40" s="4">
        <f t="shared" si="6"/>
        <v>-5555.3700000000008</v>
      </c>
    </row>
    <row r="41" spans="1:19" x14ac:dyDescent="0.25">
      <c r="A41" s="3" t="s">
        <v>222</v>
      </c>
      <c r="B41" s="4">
        <f>11289.99</f>
        <v>11289.99</v>
      </c>
      <c r="C41" s="4">
        <f>4030</f>
        <v>4030</v>
      </c>
      <c r="D41" s="4">
        <f t="shared" si="0"/>
        <v>7259.99</v>
      </c>
      <c r="E41" s="4">
        <f>6690</f>
        <v>6690</v>
      </c>
      <c r="F41" s="4">
        <f>3830</f>
        <v>3830</v>
      </c>
      <c r="G41" s="4">
        <f t="shared" si="1"/>
        <v>2860</v>
      </c>
      <c r="H41" s="4">
        <f>3800</f>
        <v>3800</v>
      </c>
      <c r="I41" s="4">
        <f>5785</f>
        <v>5785</v>
      </c>
      <c r="J41" s="4">
        <f t="shared" si="2"/>
        <v>-1985</v>
      </c>
      <c r="K41" s="4">
        <f>3100</f>
        <v>3100</v>
      </c>
      <c r="L41" s="4">
        <f>6830</f>
        <v>6830</v>
      </c>
      <c r="M41" s="4">
        <f t="shared" si="3"/>
        <v>-3730</v>
      </c>
      <c r="N41" s="4">
        <f>2800</f>
        <v>2800</v>
      </c>
      <c r="O41" s="4">
        <f>5430</f>
        <v>5430</v>
      </c>
      <c r="P41" s="4">
        <f t="shared" si="4"/>
        <v>-2630</v>
      </c>
      <c r="Q41" s="4">
        <f t="shared" si="7"/>
        <v>27679.989999999998</v>
      </c>
      <c r="R41" s="4">
        <f t="shared" si="7"/>
        <v>25905</v>
      </c>
      <c r="S41" s="4">
        <f t="shared" si="6"/>
        <v>1774.989999999998</v>
      </c>
    </row>
    <row r="42" spans="1:19" x14ac:dyDescent="0.25">
      <c r="A42" s="3" t="s">
        <v>223</v>
      </c>
      <c r="B42" s="6">
        <f>(((((B36)+(B37))+(B38))+(B39))+(B40))+(B41)</f>
        <v>12245.08</v>
      </c>
      <c r="C42" s="6">
        <f>(((((C36)+(C37))+(C38))+(C39))+(C40))+(C41)</f>
        <v>6688.94</v>
      </c>
      <c r="D42" s="6">
        <f t="shared" si="0"/>
        <v>5556.14</v>
      </c>
      <c r="E42" s="6">
        <f>(((((E36)+(E37))+(E38))+(E39))+(E40))+(E41)</f>
        <v>7033.35</v>
      </c>
      <c r="F42" s="6">
        <f>(((((F36)+(F37))+(F38))+(F39))+(F40))+(F41)</f>
        <v>6208.87</v>
      </c>
      <c r="G42" s="6">
        <f t="shared" si="1"/>
        <v>824.48000000000047</v>
      </c>
      <c r="H42" s="6">
        <f>(((((H36)+(H37))+(H38))+(H39))+(H40))+(H41)</f>
        <v>5266</v>
      </c>
      <c r="I42" s="6">
        <f>(((((I36)+(I37))+(I38))+(I39))+(I40))+(I41)</f>
        <v>9498.5499999999993</v>
      </c>
      <c r="J42" s="6">
        <f t="shared" si="2"/>
        <v>-4232.5499999999993</v>
      </c>
      <c r="K42" s="6">
        <f>(((((K36)+(K37))+(K38))+(K39))+(K40))+(K41)</f>
        <v>4660</v>
      </c>
      <c r="L42" s="6">
        <f>(((((L36)+(L37))+(L38))+(L39))+(L40))+(L41)</f>
        <v>9437.630000000001</v>
      </c>
      <c r="M42" s="6">
        <f t="shared" si="3"/>
        <v>-4777.630000000001</v>
      </c>
      <c r="N42" s="6">
        <f>(((((N36)+(N37))+(N38))+(N39))+(N40))+(N41)</f>
        <v>4415.7299999999996</v>
      </c>
      <c r="O42" s="6">
        <f>(((((O36)+(O37))+(O38))+(O39))+(O40))+(O41)</f>
        <v>10326.93</v>
      </c>
      <c r="P42" s="6">
        <f t="shared" si="4"/>
        <v>-5911.2000000000007</v>
      </c>
      <c r="Q42" s="6">
        <f t="shared" si="7"/>
        <v>33620.160000000003</v>
      </c>
      <c r="R42" s="6">
        <f t="shared" si="7"/>
        <v>42160.92</v>
      </c>
      <c r="S42" s="6">
        <f t="shared" si="6"/>
        <v>-8540.7599999999948</v>
      </c>
    </row>
    <row r="43" spans="1:19" x14ac:dyDescent="0.25">
      <c r="A43" s="3" t="s">
        <v>224</v>
      </c>
      <c r="B43" s="5"/>
      <c r="C43" s="5"/>
      <c r="D43" s="4">
        <f t="shared" si="0"/>
        <v>0</v>
      </c>
      <c r="E43" s="5"/>
      <c r="F43" s="5"/>
      <c r="G43" s="4">
        <f t="shared" si="1"/>
        <v>0</v>
      </c>
      <c r="H43" s="5"/>
      <c r="I43" s="5"/>
      <c r="J43" s="4">
        <f t="shared" si="2"/>
        <v>0</v>
      </c>
      <c r="K43" s="5"/>
      <c r="L43" s="5"/>
      <c r="M43" s="4">
        <f t="shared" si="3"/>
        <v>0</v>
      </c>
      <c r="N43" s="5"/>
      <c r="O43" s="5"/>
      <c r="P43" s="4">
        <f t="shared" si="4"/>
        <v>0</v>
      </c>
      <c r="Q43" s="4">
        <f t="shared" si="7"/>
        <v>0</v>
      </c>
      <c r="R43" s="4">
        <f t="shared" si="7"/>
        <v>0</v>
      </c>
      <c r="S43" s="4">
        <f t="shared" si="6"/>
        <v>0</v>
      </c>
    </row>
    <row r="44" spans="1:19" x14ac:dyDescent="0.25">
      <c r="A44" s="3" t="s">
        <v>225</v>
      </c>
      <c r="B44" s="4">
        <f>5722.84</f>
        <v>5722.84</v>
      </c>
      <c r="C44" s="4">
        <f>81.33</f>
        <v>81.33</v>
      </c>
      <c r="D44" s="4">
        <f t="shared" si="0"/>
        <v>5641.51</v>
      </c>
      <c r="E44" s="4">
        <f>12451.17</f>
        <v>12451.17</v>
      </c>
      <c r="F44" s="4">
        <f>2870</f>
        <v>2870</v>
      </c>
      <c r="G44" s="4">
        <f t="shared" si="1"/>
        <v>9581.17</v>
      </c>
      <c r="H44" s="4">
        <f>9565.93</f>
        <v>9565.93</v>
      </c>
      <c r="I44" s="4">
        <f>2116.63</f>
        <v>2116.63</v>
      </c>
      <c r="J44" s="4">
        <f t="shared" si="2"/>
        <v>7449.3</v>
      </c>
      <c r="K44" s="4">
        <f>5284.07</f>
        <v>5284.07</v>
      </c>
      <c r="L44" s="4">
        <f>1347.17</f>
        <v>1347.17</v>
      </c>
      <c r="M44" s="4">
        <f t="shared" si="3"/>
        <v>3936.8999999999996</v>
      </c>
      <c r="N44" s="4">
        <f>4643.01</f>
        <v>4643.01</v>
      </c>
      <c r="O44" s="4">
        <f>6374.83</f>
        <v>6374.83</v>
      </c>
      <c r="P44" s="4">
        <f t="shared" si="4"/>
        <v>-1731.8199999999997</v>
      </c>
      <c r="Q44" s="4">
        <f t="shared" si="7"/>
        <v>37667.020000000004</v>
      </c>
      <c r="R44" s="4">
        <f t="shared" si="7"/>
        <v>12789.96</v>
      </c>
      <c r="S44" s="4">
        <f t="shared" si="6"/>
        <v>24877.060000000005</v>
      </c>
    </row>
    <row r="45" spans="1:19" x14ac:dyDescent="0.25">
      <c r="A45" s="3" t="s">
        <v>351</v>
      </c>
      <c r="B45" s="5"/>
      <c r="C45" s="5"/>
      <c r="D45" s="4">
        <f t="shared" si="0"/>
        <v>0</v>
      </c>
      <c r="E45" s="5"/>
      <c r="F45" s="5"/>
      <c r="G45" s="4">
        <f t="shared" si="1"/>
        <v>0</v>
      </c>
      <c r="H45" s="5"/>
      <c r="I45" s="5"/>
      <c r="J45" s="4">
        <f t="shared" si="2"/>
        <v>0</v>
      </c>
      <c r="K45" s="5"/>
      <c r="L45" s="5"/>
      <c r="M45" s="4">
        <f t="shared" si="3"/>
        <v>0</v>
      </c>
      <c r="N45" s="5"/>
      <c r="O45" s="4">
        <f>250</f>
        <v>250</v>
      </c>
      <c r="P45" s="4">
        <f t="shared" si="4"/>
        <v>-250</v>
      </c>
      <c r="Q45" s="4">
        <f t="shared" si="7"/>
        <v>0</v>
      </c>
      <c r="R45" s="4">
        <f t="shared" si="7"/>
        <v>250</v>
      </c>
      <c r="S45" s="4">
        <f t="shared" si="6"/>
        <v>-250</v>
      </c>
    </row>
    <row r="46" spans="1:19" x14ac:dyDescent="0.25">
      <c r="A46" s="3" t="s">
        <v>226</v>
      </c>
      <c r="B46" s="5"/>
      <c r="C46" s="4">
        <f>18941</f>
        <v>18941</v>
      </c>
      <c r="D46" s="4">
        <f t="shared" si="0"/>
        <v>-18941</v>
      </c>
      <c r="E46" s="4">
        <f>168</f>
        <v>168</v>
      </c>
      <c r="F46" s="4">
        <f>9869.17</f>
        <v>9869.17</v>
      </c>
      <c r="G46" s="4">
        <f t="shared" si="1"/>
        <v>-9701.17</v>
      </c>
      <c r="H46" s="4">
        <f>13370.63</f>
        <v>13370.63</v>
      </c>
      <c r="I46" s="4">
        <f>1888.43</f>
        <v>1888.43</v>
      </c>
      <c r="J46" s="4">
        <f t="shared" si="2"/>
        <v>11482.199999999999</v>
      </c>
      <c r="K46" s="4">
        <f>3590.1</f>
        <v>3590.1</v>
      </c>
      <c r="L46" s="4">
        <f>833.57</f>
        <v>833.57</v>
      </c>
      <c r="M46" s="4">
        <f t="shared" si="3"/>
        <v>2756.5299999999997</v>
      </c>
      <c r="N46" s="4">
        <f>556.5</f>
        <v>556.5</v>
      </c>
      <c r="O46" s="4">
        <f>880.74</f>
        <v>880.74</v>
      </c>
      <c r="P46" s="4">
        <f t="shared" si="4"/>
        <v>-324.24</v>
      </c>
      <c r="Q46" s="4">
        <f t="shared" si="7"/>
        <v>17685.23</v>
      </c>
      <c r="R46" s="4">
        <f t="shared" si="7"/>
        <v>32412.91</v>
      </c>
      <c r="S46" s="4">
        <f t="shared" si="6"/>
        <v>-14727.68</v>
      </c>
    </row>
    <row r="47" spans="1:19" x14ac:dyDescent="0.25">
      <c r="A47" s="3" t="s">
        <v>352</v>
      </c>
      <c r="B47" s="5"/>
      <c r="C47" s="5"/>
      <c r="D47" s="4">
        <f t="shared" si="0"/>
        <v>0</v>
      </c>
      <c r="E47" s="5"/>
      <c r="F47" s="5"/>
      <c r="G47" s="4">
        <f t="shared" si="1"/>
        <v>0</v>
      </c>
      <c r="H47" s="5"/>
      <c r="I47" s="5"/>
      <c r="J47" s="4">
        <f t="shared" si="2"/>
        <v>0</v>
      </c>
      <c r="K47" s="5"/>
      <c r="L47" s="5"/>
      <c r="M47" s="4">
        <f t="shared" si="3"/>
        <v>0</v>
      </c>
      <c r="N47" s="5"/>
      <c r="O47" s="4">
        <f>16000</f>
        <v>16000</v>
      </c>
      <c r="P47" s="4">
        <f t="shared" si="4"/>
        <v>-16000</v>
      </c>
      <c r="Q47" s="4">
        <f t="shared" si="7"/>
        <v>0</v>
      </c>
      <c r="R47" s="4">
        <f t="shared" si="7"/>
        <v>16000</v>
      </c>
      <c r="S47" s="4">
        <f t="shared" si="6"/>
        <v>-16000</v>
      </c>
    </row>
    <row r="48" spans="1:19" x14ac:dyDescent="0.25">
      <c r="A48" s="3" t="s">
        <v>227</v>
      </c>
      <c r="B48" s="6">
        <f>((((B43)+(B44))+(B45))+(B46))+(B47)</f>
        <v>5722.84</v>
      </c>
      <c r="C48" s="6">
        <f>((((C43)+(C44))+(C45))+(C46))+(C47)</f>
        <v>19022.330000000002</v>
      </c>
      <c r="D48" s="6">
        <f t="shared" si="0"/>
        <v>-13299.490000000002</v>
      </c>
      <c r="E48" s="6">
        <f>((((E43)+(E44))+(E45))+(E46))+(E47)</f>
        <v>12619.17</v>
      </c>
      <c r="F48" s="6">
        <f>((((F43)+(F44))+(F45))+(F46))+(F47)</f>
        <v>12739.17</v>
      </c>
      <c r="G48" s="6">
        <f t="shared" si="1"/>
        <v>-120</v>
      </c>
      <c r="H48" s="6">
        <f>((((H43)+(H44))+(H45))+(H46))+(H47)</f>
        <v>22936.559999999998</v>
      </c>
      <c r="I48" s="6">
        <f>((((I43)+(I44))+(I45))+(I46))+(I47)</f>
        <v>4005.0600000000004</v>
      </c>
      <c r="J48" s="6">
        <f t="shared" si="2"/>
        <v>18931.499999999996</v>
      </c>
      <c r="K48" s="6">
        <f>((((K43)+(K44))+(K45))+(K46))+(K47)</f>
        <v>8874.17</v>
      </c>
      <c r="L48" s="6">
        <f>((((L43)+(L44))+(L45))+(L46))+(L47)</f>
        <v>2180.7400000000002</v>
      </c>
      <c r="M48" s="6">
        <f t="shared" si="3"/>
        <v>6693.43</v>
      </c>
      <c r="N48" s="6">
        <f>((((N43)+(N44))+(N45))+(N46))+(N47)</f>
        <v>5199.51</v>
      </c>
      <c r="O48" s="6">
        <f>((((O43)+(O44))+(O45))+(O46))+(O47)</f>
        <v>23505.57</v>
      </c>
      <c r="P48" s="6">
        <f t="shared" si="4"/>
        <v>-18306.059999999998</v>
      </c>
      <c r="Q48" s="6">
        <f t="shared" si="7"/>
        <v>55352.25</v>
      </c>
      <c r="R48" s="6">
        <f t="shared" si="7"/>
        <v>61452.869999999995</v>
      </c>
      <c r="S48" s="6">
        <f t="shared" si="6"/>
        <v>-6100.6199999999953</v>
      </c>
    </row>
    <row r="49" spans="1:19" x14ac:dyDescent="0.25">
      <c r="A49" s="3" t="s">
        <v>353</v>
      </c>
      <c r="B49" s="5"/>
      <c r="C49" s="5"/>
      <c r="D49" s="4">
        <f t="shared" si="0"/>
        <v>0</v>
      </c>
      <c r="E49" s="5"/>
      <c r="F49" s="5"/>
      <c r="G49" s="4">
        <f t="shared" si="1"/>
        <v>0</v>
      </c>
      <c r="H49" s="5"/>
      <c r="I49" s="5"/>
      <c r="J49" s="4">
        <f t="shared" si="2"/>
        <v>0</v>
      </c>
      <c r="K49" s="5"/>
      <c r="L49" s="4">
        <f>38500</f>
        <v>38500</v>
      </c>
      <c r="M49" s="4">
        <f t="shared" si="3"/>
        <v>-38500</v>
      </c>
      <c r="N49" s="5"/>
      <c r="O49" s="4">
        <f>0</f>
        <v>0</v>
      </c>
      <c r="P49" s="4">
        <f t="shared" si="4"/>
        <v>0</v>
      </c>
      <c r="Q49" s="4">
        <f t="shared" si="7"/>
        <v>0</v>
      </c>
      <c r="R49" s="4">
        <f t="shared" si="7"/>
        <v>38500</v>
      </c>
      <c r="S49" s="4">
        <f t="shared" si="6"/>
        <v>-38500</v>
      </c>
    </row>
    <row r="50" spans="1:19" x14ac:dyDescent="0.25">
      <c r="A50" s="3" t="s">
        <v>228</v>
      </c>
      <c r="B50" s="5"/>
      <c r="C50" s="5"/>
      <c r="D50" s="4">
        <f t="shared" si="0"/>
        <v>0</v>
      </c>
      <c r="E50" s="5"/>
      <c r="F50" s="5"/>
      <c r="G50" s="4">
        <f t="shared" si="1"/>
        <v>0</v>
      </c>
      <c r="H50" s="5"/>
      <c r="I50" s="4">
        <f>101.52</f>
        <v>101.52</v>
      </c>
      <c r="J50" s="4">
        <f t="shared" si="2"/>
        <v>-101.52</v>
      </c>
      <c r="K50" s="5"/>
      <c r="L50" s="5"/>
      <c r="M50" s="4">
        <f t="shared" si="3"/>
        <v>0</v>
      </c>
      <c r="N50" s="5"/>
      <c r="O50" s="4">
        <f>68.73</f>
        <v>68.73</v>
      </c>
      <c r="P50" s="4">
        <f t="shared" si="4"/>
        <v>-68.73</v>
      </c>
      <c r="Q50" s="4">
        <f t="shared" si="7"/>
        <v>0</v>
      </c>
      <c r="R50" s="4">
        <f t="shared" si="7"/>
        <v>170.25</v>
      </c>
      <c r="S50" s="4">
        <f t="shared" si="6"/>
        <v>-170.25</v>
      </c>
    </row>
    <row r="51" spans="1:19" x14ac:dyDescent="0.25">
      <c r="A51" s="3" t="s">
        <v>229</v>
      </c>
      <c r="B51" s="4">
        <f>9.14</f>
        <v>9.14</v>
      </c>
      <c r="C51" s="4">
        <f>10.48</f>
        <v>10.48</v>
      </c>
      <c r="D51" s="4">
        <f t="shared" si="0"/>
        <v>-1.3399999999999999</v>
      </c>
      <c r="E51" s="4">
        <f>5.41</f>
        <v>5.41</v>
      </c>
      <c r="F51" s="4">
        <f>7.69</f>
        <v>7.69</v>
      </c>
      <c r="G51" s="4">
        <f t="shared" si="1"/>
        <v>-2.2800000000000002</v>
      </c>
      <c r="H51" s="4">
        <f>1.49</f>
        <v>1.49</v>
      </c>
      <c r="I51" s="4">
        <f>3.79</f>
        <v>3.79</v>
      </c>
      <c r="J51" s="4">
        <f t="shared" si="2"/>
        <v>-2.2999999999999998</v>
      </c>
      <c r="K51" s="4">
        <f>1.27</f>
        <v>1.27</v>
      </c>
      <c r="L51" s="4">
        <f>9.12</f>
        <v>9.1199999999999992</v>
      </c>
      <c r="M51" s="4">
        <f t="shared" si="3"/>
        <v>-7.85</v>
      </c>
      <c r="N51" s="4">
        <f>1.31</f>
        <v>1.31</v>
      </c>
      <c r="O51" s="4">
        <f>6.88</f>
        <v>6.88</v>
      </c>
      <c r="P51" s="4">
        <f t="shared" si="4"/>
        <v>-5.57</v>
      </c>
      <c r="Q51" s="4">
        <f t="shared" si="7"/>
        <v>18.619999999999997</v>
      </c>
      <c r="R51" s="4">
        <f t="shared" si="7"/>
        <v>37.96</v>
      </c>
      <c r="S51" s="4">
        <f t="shared" si="6"/>
        <v>-19.340000000000003</v>
      </c>
    </row>
    <row r="52" spans="1:19" x14ac:dyDescent="0.25">
      <c r="A52" s="3" t="s">
        <v>230</v>
      </c>
      <c r="B52" s="4">
        <f>455</f>
        <v>455</v>
      </c>
      <c r="C52" s="5"/>
      <c r="D52" s="4">
        <f t="shared" si="0"/>
        <v>455</v>
      </c>
      <c r="E52" s="4">
        <f>35</f>
        <v>35</v>
      </c>
      <c r="F52" s="5"/>
      <c r="G52" s="4">
        <f t="shared" si="1"/>
        <v>35</v>
      </c>
      <c r="H52" s="4">
        <f>190</f>
        <v>190</v>
      </c>
      <c r="I52" s="5"/>
      <c r="J52" s="4">
        <f t="shared" si="2"/>
        <v>190</v>
      </c>
      <c r="K52" s="4">
        <f>89</f>
        <v>89</v>
      </c>
      <c r="L52" s="5"/>
      <c r="M52" s="4">
        <f t="shared" si="3"/>
        <v>89</v>
      </c>
      <c r="N52" s="4">
        <f>130</f>
        <v>130</v>
      </c>
      <c r="O52" s="5"/>
      <c r="P52" s="4">
        <f t="shared" si="4"/>
        <v>130</v>
      </c>
      <c r="Q52" s="4">
        <f t="shared" si="7"/>
        <v>899</v>
      </c>
      <c r="R52" s="4">
        <f t="shared" si="7"/>
        <v>0</v>
      </c>
      <c r="S52" s="4">
        <f t="shared" si="6"/>
        <v>899</v>
      </c>
    </row>
    <row r="53" spans="1:19" x14ac:dyDescent="0.25">
      <c r="A53" s="3" t="s">
        <v>231</v>
      </c>
      <c r="B53" s="4">
        <f>4000</f>
        <v>4000</v>
      </c>
      <c r="C53" s="5"/>
      <c r="D53" s="4">
        <f t="shared" si="0"/>
        <v>4000</v>
      </c>
      <c r="E53" s="4">
        <f>4000</f>
        <v>4000</v>
      </c>
      <c r="F53" s="5"/>
      <c r="G53" s="4">
        <f t="shared" si="1"/>
        <v>4000</v>
      </c>
      <c r="H53" s="4">
        <f>4000</f>
        <v>4000</v>
      </c>
      <c r="I53" s="5"/>
      <c r="J53" s="4">
        <f t="shared" si="2"/>
        <v>4000</v>
      </c>
      <c r="K53" s="4">
        <f>4000</f>
        <v>4000</v>
      </c>
      <c r="L53" s="5"/>
      <c r="M53" s="4">
        <f t="shared" si="3"/>
        <v>4000</v>
      </c>
      <c r="N53" s="4">
        <f>4000</f>
        <v>4000</v>
      </c>
      <c r="O53" s="5"/>
      <c r="P53" s="4">
        <f t="shared" si="4"/>
        <v>4000</v>
      </c>
      <c r="Q53" s="4">
        <f t="shared" si="7"/>
        <v>20000</v>
      </c>
      <c r="R53" s="4">
        <f t="shared" si="7"/>
        <v>0</v>
      </c>
      <c r="S53" s="4">
        <f t="shared" si="6"/>
        <v>20000</v>
      </c>
    </row>
    <row r="54" spans="1:19" x14ac:dyDescent="0.25">
      <c r="A54" s="3" t="s">
        <v>232</v>
      </c>
      <c r="B54" s="4">
        <f>459</f>
        <v>459</v>
      </c>
      <c r="C54" s="4">
        <f>48000</f>
        <v>48000</v>
      </c>
      <c r="D54" s="4">
        <f t="shared" si="0"/>
        <v>-47541</v>
      </c>
      <c r="E54" s="4">
        <f>425</f>
        <v>425</v>
      </c>
      <c r="F54" s="4">
        <f>1655.64</f>
        <v>1655.64</v>
      </c>
      <c r="G54" s="4">
        <f t="shared" si="1"/>
        <v>-1230.6400000000001</v>
      </c>
      <c r="H54" s="4">
        <f>2855.5</f>
        <v>2855.5</v>
      </c>
      <c r="I54" s="4">
        <f>54.5</f>
        <v>54.5</v>
      </c>
      <c r="J54" s="4">
        <f t="shared" si="2"/>
        <v>2801</v>
      </c>
      <c r="K54" s="5"/>
      <c r="L54" s="4">
        <f>365</f>
        <v>365</v>
      </c>
      <c r="M54" s="4">
        <f t="shared" si="3"/>
        <v>-365</v>
      </c>
      <c r="N54" s="5"/>
      <c r="O54" s="4">
        <f>125</f>
        <v>125</v>
      </c>
      <c r="P54" s="4">
        <f t="shared" si="4"/>
        <v>-125</v>
      </c>
      <c r="Q54" s="4">
        <f t="shared" si="7"/>
        <v>3739.5</v>
      </c>
      <c r="R54" s="4">
        <f t="shared" si="7"/>
        <v>50200.14</v>
      </c>
      <c r="S54" s="4">
        <f t="shared" si="6"/>
        <v>-46460.639999999999</v>
      </c>
    </row>
    <row r="55" spans="1:19" x14ac:dyDescent="0.25">
      <c r="A55" s="3" t="s">
        <v>233</v>
      </c>
      <c r="B55" s="6">
        <f>((((B50)+(B51))+(B52))+(B53))+(B54)</f>
        <v>4923.1400000000003</v>
      </c>
      <c r="C55" s="6">
        <f>((((C50)+(C51))+(C52))+(C53))+(C54)</f>
        <v>48010.48</v>
      </c>
      <c r="D55" s="6">
        <f t="shared" si="0"/>
        <v>-43087.340000000004</v>
      </c>
      <c r="E55" s="6">
        <f>((((E50)+(E51))+(E52))+(E53))+(E54)</f>
        <v>4465.41</v>
      </c>
      <c r="F55" s="6">
        <f>((((F50)+(F51))+(F52))+(F53))+(F54)</f>
        <v>1663.3300000000002</v>
      </c>
      <c r="G55" s="6">
        <f t="shared" si="1"/>
        <v>2802.08</v>
      </c>
      <c r="H55" s="6">
        <f>((((H50)+(H51))+(H52))+(H53))+(H54)</f>
        <v>7046.99</v>
      </c>
      <c r="I55" s="6">
        <f>((((I50)+(I51))+(I52))+(I53))+(I54)</f>
        <v>159.81</v>
      </c>
      <c r="J55" s="6">
        <f t="shared" si="2"/>
        <v>6887.1799999999994</v>
      </c>
      <c r="K55" s="6">
        <f>((((K50)+(K51))+(K52))+(K53))+(K54)</f>
        <v>4090.27</v>
      </c>
      <c r="L55" s="6">
        <f>((((L50)+(L51))+(L52))+(L53))+(L54)</f>
        <v>374.12</v>
      </c>
      <c r="M55" s="6">
        <f t="shared" si="3"/>
        <v>3716.15</v>
      </c>
      <c r="N55" s="6">
        <f>((((N50)+(N51))+(N52))+(N53))+(N54)</f>
        <v>4131.3100000000004</v>
      </c>
      <c r="O55" s="6">
        <f>((((O50)+(O51))+(O52))+(O53))+(O54)</f>
        <v>200.61</v>
      </c>
      <c r="P55" s="6">
        <f t="shared" si="4"/>
        <v>3930.7000000000003</v>
      </c>
      <c r="Q55" s="6">
        <f t="shared" si="7"/>
        <v>24657.120000000003</v>
      </c>
      <c r="R55" s="6">
        <f t="shared" si="7"/>
        <v>50408.350000000006</v>
      </c>
      <c r="S55" s="6">
        <f t="shared" si="6"/>
        <v>-25751.230000000003</v>
      </c>
    </row>
    <row r="56" spans="1:19" x14ac:dyDescent="0.25">
      <c r="A56" s="3" t="s">
        <v>354</v>
      </c>
      <c r="B56" s="5"/>
      <c r="C56" s="5"/>
      <c r="D56" s="4">
        <f t="shared" si="0"/>
        <v>0</v>
      </c>
      <c r="E56" s="5"/>
      <c r="F56" s="5"/>
      <c r="G56" s="4">
        <f t="shared" si="1"/>
        <v>0</v>
      </c>
      <c r="H56" s="5"/>
      <c r="I56" s="4">
        <f>0</f>
        <v>0</v>
      </c>
      <c r="J56" s="4">
        <f t="shared" si="2"/>
        <v>0</v>
      </c>
      <c r="K56" s="5"/>
      <c r="L56" s="4">
        <f>0</f>
        <v>0</v>
      </c>
      <c r="M56" s="4">
        <f t="shared" si="3"/>
        <v>0</v>
      </c>
      <c r="N56" s="5"/>
      <c r="O56" s="5"/>
      <c r="P56" s="4">
        <f t="shared" si="4"/>
        <v>0</v>
      </c>
      <c r="Q56" s="4">
        <f t="shared" si="7"/>
        <v>0</v>
      </c>
      <c r="R56" s="4">
        <f t="shared" si="7"/>
        <v>0</v>
      </c>
      <c r="S56" s="4">
        <f t="shared" si="6"/>
        <v>0</v>
      </c>
    </row>
    <row r="57" spans="1:19" x14ac:dyDescent="0.25">
      <c r="A57" s="3" t="s">
        <v>355</v>
      </c>
      <c r="B57" s="5"/>
      <c r="C57" s="5"/>
      <c r="D57" s="4">
        <f t="shared" si="0"/>
        <v>0</v>
      </c>
      <c r="E57" s="5"/>
      <c r="F57" s="5"/>
      <c r="G57" s="4">
        <f t="shared" si="1"/>
        <v>0</v>
      </c>
      <c r="H57" s="5"/>
      <c r="I57" s="4">
        <f>0</f>
        <v>0</v>
      </c>
      <c r="J57" s="4">
        <f t="shared" si="2"/>
        <v>0</v>
      </c>
      <c r="K57" s="5"/>
      <c r="L57" s="4">
        <f>-40</f>
        <v>-40</v>
      </c>
      <c r="M57" s="4">
        <f t="shared" si="3"/>
        <v>40</v>
      </c>
      <c r="N57" s="5"/>
      <c r="O57" s="4">
        <f>180</f>
        <v>180</v>
      </c>
      <c r="P57" s="4">
        <f t="shared" si="4"/>
        <v>-180</v>
      </c>
      <c r="Q57" s="4">
        <f t="shared" si="7"/>
        <v>0</v>
      </c>
      <c r="R57" s="4">
        <f t="shared" si="7"/>
        <v>140</v>
      </c>
      <c r="S57" s="4">
        <f t="shared" si="6"/>
        <v>-140</v>
      </c>
    </row>
    <row r="58" spans="1:19" x14ac:dyDescent="0.25">
      <c r="A58" s="3" t="s">
        <v>234</v>
      </c>
      <c r="B58" s="6">
        <f>(((((((B30)+(B35))+(B42))+(B48))+(B49))+(B55))+(B56))+(B57)</f>
        <v>264800.67</v>
      </c>
      <c r="C58" s="6">
        <f>(((((((C30)+(C35))+(C42))+(C48))+(C49))+(C55))+(C56))+(C57)</f>
        <v>340789.33999999997</v>
      </c>
      <c r="D58" s="6">
        <f t="shared" si="0"/>
        <v>-75988.669999999984</v>
      </c>
      <c r="E58" s="6">
        <f>(((((((E30)+(E35))+(E42))+(E48))+(E49))+(E55))+(E56))+(E57)</f>
        <v>270415.76999999996</v>
      </c>
      <c r="F58" s="6">
        <f>(((((((F30)+(F35))+(F42))+(F48))+(F49))+(F55))+(F56))+(F57)</f>
        <v>283297.42000000004</v>
      </c>
      <c r="G58" s="6">
        <f t="shared" si="1"/>
        <v>-12881.650000000081</v>
      </c>
      <c r="H58" s="6">
        <f>(((((((H30)+(H35))+(H42))+(H48))+(H49))+(H55))+(H56))+(H57)</f>
        <v>281043.01</v>
      </c>
      <c r="I58" s="6">
        <f>(((((((I30)+(I35))+(I42))+(I48))+(I49))+(I55))+(I56))+(I57)</f>
        <v>300301.88</v>
      </c>
      <c r="J58" s="6">
        <f t="shared" si="2"/>
        <v>-19258.869999999995</v>
      </c>
      <c r="K58" s="6">
        <f>(((((((K30)+(K35))+(K42))+(K48))+(K49))+(K55))+(K56))+(K57)</f>
        <v>265427.49</v>
      </c>
      <c r="L58" s="6">
        <f>(((((((L30)+(L35))+(L42))+(L48))+(L49))+(L55))+(L56))+(L57)</f>
        <v>355834.79</v>
      </c>
      <c r="M58" s="6">
        <f t="shared" si="3"/>
        <v>-90407.299999999988</v>
      </c>
      <c r="N58" s="6">
        <f>(((((((N30)+(N35))+(N42))+(N48))+(N49))+(N55))+(N56))+(N57)</f>
        <v>260368.65</v>
      </c>
      <c r="O58" s="6">
        <f>(((((((O30)+(O35))+(O42))+(O48))+(O49))+(O55))+(O56))+(O57)</f>
        <v>328344.46999999997</v>
      </c>
      <c r="P58" s="6">
        <f t="shared" si="4"/>
        <v>-67975.819999999978</v>
      </c>
      <c r="Q58" s="6">
        <f t="shared" si="7"/>
        <v>1342055.5899999999</v>
      </c>
      <c r="R58" s="6">
        <f t="shared" si="7"/>
        <v>1608567.9</v>
      </c>
      <c r="S58" s="6">
        <f t="shared" si="6"/>
        <v>-266512.31000000006</v>
      </c>
    </row>
    <row r="59" spans="1:19" x14ac:dyDescent="0.25">
      <c r="A59" s="3" t="s">
        <v>235</v>
      </c>
      <c r="B59" s="6">
        <f>(B58)-(0)</f>
        <v>264800.67</v>
      </c>
      <c r="C59" s="6">
        <f>(C58)-(0)</f>
        <v>340789.33999999997</v>
      </c>
      <c r="D59" s="6">
        <f t="shared" si="0"/>
        <v>-75988.669999999984</v>
      </c>
      <c r="E59" s="6">
        <f>(E58)-(0)</f>
        <v>270415.76999999996</v>
      </c>
      <c r="F59" s="6">
        <f>(F58)-(0)</f>
        <v>283297.42000000004</v>
      </c>
      <c r="G59" s="6">
        <f t="shared" si="1"/>
        <v>-12881.650000000081</v>
      </c>
      <c r="H59" s="6">
        <f>(H58)-(0)</f>
        <v>281043.01</v>
      </c>
      <c r="I59" s="6">
        <f>(I58)-(0)</f>
        <v>300301.88</v>
      </c>
      <c r="J59" s="6">
        <f t="shared" si="2"/>
        <v>-19258.869999999995</v>
      </c>
      <c r="K59" s="6">
        <f>(K58)-(0)</f>
        <v>265427.49</v>
      </c>
      <c r="L59" s="6">
        <f>(L58)-(0)</f>
        <v>355834.79</v>
      </c>
      <c r="M59" s="6">
        <f t="shared" si="3"/>
        <v>-90407.299999999988</v>
      </c>
      <c r="N59" s="6">
        <f>(N58)-(0)</f>
        <v>260368.65</v>
      </c>
      <c r="O59" s="6">
        <f>(O58)-(0)</f>
        <v>328344.46999999997</v>
      </c>
      <c r="P59" s="6">
        <f t="shared" si="4"/>
        <v>-67975.819999999978</v>
      </c>
      <c r="Q59" s="6">
        <f t="shared" si="7"/>
        <v>1342055.5899999999</v>
      </c>
      <c r="R59" s="6">
        <f t="shared" si="7"/>
        <v>1608567.9</v>
      </c>
      <c r="S59" s="6">
        <f t="shared" si="6"/>
        <v>-266512.31000000006</v>
      </c>
    </row>
    <row r="60" spans="1:19" x14ac:dyDescent="0.25">
      <c r="A60" s="3" t="s">
        <v>236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x14ac:dyDescent="0.25">
      <c r="A61" s="3" t="s">
        <v>237</v>
      </c>
      <c r="B61" s="5"/>
      <c r="C61" s="5"/>
      <c r="D61" s="4">
        <f t="shared" ref="D61:D124" si="8">(B61)-(C61)</f>
        <v>0</v>
      </c>
      <c r="E61" s="5"/>
      <c r="F61" s="5"/>
      <c r="G61" s="4">
        <f t="shared" ref="G61:G124" si="9">(E61)-(F61)</f>
        <v>0</v>
      </c>
      <c r="H61" s="5"/>
      <c r="I61" s="5"/>
      <c r="J61" s="4">
        <f t="shared" ref="J61:J124" si="10">(H61)-(I61)</f>
        <v>0</v>
      </c>
      <c r="K61" s="5"/>
      <c r="L61" s="5"/>
      <c r="M61" s="4">
        <f t="shared" ref="M61:M124" si="11">(K61)-(L61)</f>
        <v>0</v>
      </c>
      <c r="N61" s="5"/>
      <c r="O61" s="5"/>
      <c r="P61" s="4">
        <f t="shared" ref="P61:P124" si="12">(N61)-(O61)</f>
        <v>0</v>
      </c>
      <c r="Q61" s="4">
        <f t="shared" ref="Q61:R92" si="13">((((B61)+(E61))+(H61))+(K61))+(N61)</f>
        <v>0</v>
      </c>
      <c r="R61" s="4">
        <f t="shared" si="13"/>
        <v>0</v>
      </c>
      <c r="S61" s="4">
        <f t="shared" ref="S61:S124" si="14">(Q61)-(R61)</f>
        <v>0</v>
      </c>
    </row>
    <row r="62" spans="1:19" x14ac:dyDescent="0.25">
      <c r="A62" s="3" t="s">
        <v>238</v>
      </c>
      <c r="B62" s="5"/>
      <c r="C62" s="5"/>
      <c r="D62" s="4">
        <f t="shared" si="8"/>
        <v>0</v>
      </c>
      <c r="E62" s="5"/>
      <c r="F62" s="4">
        <f>2160</f>
        <v>2160</v>
      </c>
      <c r="G62" s="4">
        <f t="shared" si="9"/>
        <v>-2160</v>
      </c>
      <c r="H62" s="5"/>
      <c r="I62" s="5"/>
      <c r="J62" s="4">
        <f t="shared" si="10"/>
        <v>0</v>
      </c>
      <c r="K62" s="5"/>
      <c r="L62" s="5"/>
      <c r="M62" s="4">
        <f t="shared" si="11"/>
        <v>0</v>
      </c>
      <c r="N62" s="5"/>
      <c r="O62" s="5"/>
      <c r="P62" s="4">
        <f t="shared" si="12"/>
        <v>0</v>
      </c>
      <c r="Q62" s="4">
        <f t="shared" si="13"/>
        <v>0</v>
      </c>
      <c r="R62" s="4">
        <f t="shared" si="13"/>
        <v>2160</v>
      </c>
      <c r="S62" s="4">
        <f t="shared" si="14"/>
        <v>-2160</v>
      </c>
    </row>
    <row r="63" spans="1:19" x14ac:dyDescent="0.25">
      <c r="A63" s="3" t="s">
        <v>239</v>
      </c>
      <c r="B63" s="4">
        <f>85188.44</f>
        <v>85188.44</v>
      </c>
      <c r="C63" s="4">
        <f>161676.33</f>
        <v>161676.32999999999</v>
      </c>
      <c r="D63" s="4">
        <f t="shared" si="8"/>
        <v>-76487.889999999985</v>
      </c>
      <c r="E63" s="4">
        <f>86908.74</f>
        <v>86908.74</v>
      </c>
      <c r="F63" s="4">
        <f>110259.96</f>
        <v>110259.96</v>
      </c>
      <c r="G63" s="4">
        <f t="shared" si="9"/>
        <v>-23351.22</v>
      </c>
      <c r="H63" s="4">
        <f>91357.01</f>
        <v>91357.01</v>
      </c>
      <c r="I63" s="4">
        <f>106182.48</f>
        <v>106182.48</v>
      </c>
      <c r="J63" s="4">
        <f t="shared" si="10"/>
        <v>-14825.470000000001</v>
      </c>
      <c r="K63" s="4">
        <f>87805.4</f>
        <v>87805.4</v>
      </c>
      <c r="L63" s="4">
        <f>106206.35</f>
        <v>106206.35</v>
      </c>
      <c r="M63" s="4">
        <f t="shared" si="11"/>
        <v>-18400.950000000012</v>
      </c>
      <c r="N63" s="4">
        <f>136848.65</f>
        <v>136848.65</v>
      </c>
      <c r="O63" s="4">
        <f>106860.44</f>
        <v>106860.44</v>
      </c>
      <c r="P63" s="4">
        <f t="shared" si="12"/>
        <v>29988.209999999992</v>
      </c>
      <c r="Q63" s="4">
        <f t="shared" si="13"/>
        <v>488108.24</v>
      </c>
      <c r="R63" s="4">
        <f t="shared" si="13"/>
        <v>591185.56000000006</v>
      </c>
      <c r="S63" s="4">
        <f t="shared" si="14"/>
        <v>-103077.32000000007</v>
      </c>
    </row>
    <row r="64" spans="1:19" x14ac:dyDescent="0.25">
      <c r="A64" s="3" t="s">
        <v>240</v>
      </c>
      <c r="B64" s="4">
        <f>575</f>
        <v>575</v>
      </c>
      <c r="C64" s="4">
        <f>9004.47</f>
        <v>9004.4699999999993</v>
      </c>
      <c r="D64" s="4">
        <f t="shared" si="8"/>
        <v>-8429.4699999999993</v>
      </c>
      <c r="E64" s="4">
        <f>6983.26</f>
        <v>6983.26</v>
      </c>
      <c r="F64" s="4">
        <f>6353.33</f>
        <v>6353.33</v>
      </c>
      <c r="G64" s="4">
        <f t="shared" si="9"/>
        <v>629.93000000000029</v>
      </c>
      <c r="H64" s="4">
        <f>13721.52</f>
        <v>13721.52</v>
      </c>
      <c r="I64" s="4">
        <f>9027.27</f>
        <v>9027.27</v>
      </c>
      <c r="J64" s="4">
        <f t="shared" si="10"/>
        <v>4694.25</v>
      </c>
      <c r="K64" s="4">
        <f>10309.72</f>
        <v>10309.719999999999</v>
      </c>
      <c r="L64" s="4">
        <f>5374.17</f>
        <v>5374.17</v>
      </c>
      <c r="M64" s="4">
        <f t="shared" si="11"/>
        <v>4935.5499999999993</v>
      </c>
      <c r="N64" s="4">
        <f>12151.32</f>
        <v>12151.32</v>
      </c>
      <c r="O64" s="4">
        <f>9641.67</f>
        <v>9641.67</v>
      </c>
      <c r="P64" s="4">
        <f t="shared" si="12"/>
        <v>2509.6499999999996</v>
      </c>
      <c r="Q64" s="4">
        <f t="shared" si="13"/>
        <v>43740.82</v>
      </c>
      <c r="R64" s="4">
        <f t="shared" si="13"/>
        <v>39400.909999999996</v>
      </c>
      <c r="S64" s="4">
        <f t="shared" si="14"/>
        <v>4339.9100000000035</v>
      </c>
    </row>
    <row r="65" spans="1:19" x14ac:dyDescent="0.25">
      <c r="A65" s="3" t="s">
        <v>241</v>
      </c>
      <c r="B65" s="6">
        <f>((B62)+(B63))+(B64)</f>
        <v>85763.44</v>
      </c>
      <c r="C65" s="6">
        <f>((C62)+(C63))+(C64)</f>
        <v>170680.8</v>
      </c>
      <c r="D65" s="6">
        <f t="shared" si="8"/>
        <v>-84917.359999999986</v>
      </c>
      <c r="E65" s="6">
        <f>((E62)+(E63))+(E64)</f>
        <v>93892</v>
      </c>
      <c r="F65" s="6">
        <f>((F62)+(F63))+(F64)</f>
        <v>118773.29000000001</v>
      </c>
      <c r="G65" s="6">
        <f t="shared" si="9"/>
        <v>-24881.290000000008</v>
      </c>
      <c r="H65" s="6">
        <f>((H62)+(H63))+(H64)</f>
        <v>105078.53</v>
      </c>
      <c r="I65" s="6">
        <f>((I62)+(I63))+(I64)</f>
        <v>115209.75</v>
      </c>
      <c r="J65" s="6">
        <f t="shared" si="10"/>
        <v>-10131.220000000001</v>
      </c>
      <c r="K65" s="6">
        <f>((K62)+(K63))+(K64)</f>
        <v>98115.12</v>
      </c>
      <c r="L65" s="6">
        <f>((L62)+(L63))+(L64)</f>
        <v>111580.52</v>
      </c>
      <c r="M65" s="6">
        <f t="shared" si="11"/>
        <v>-13465.400000000009</v>
      </c>
      <c r="N65" s="6">
        <f>((N62)+(N63))+(N64)</f>
        <v>148999.97</v>
      </c>
      <c r="O65" s="6">
        <f>((O62)+(O63))+(O64)</f>
        <v>116502.11</v>
      </c>
      <c r="P65" s="6">
        <f t="shared" si="12"/>
        <v>32497.86</v>
      </c>
      <c r="Q65" s="6">
        <f t="shared" si="13"/>
        <v>531849.05999999994</v>
      </c>
      <c r="R65" s="6">
        <f t="shared" si="13"/>
        <v>632746.47</v>
      </c>
      <c r="S65" s="6">
        <f t="shared" si="14"/>
        <v>-100897.41000000003</v>
      </c>
    </row>
    <row r="66" spans="1:19" x14ac:dyDescent="0.25">
      <c r="A66" s="3" t="s">
        <v>242</v>
      </c>
      <c r="B66" s="5"/>
      <c r="C66" s="5"/>
      <c r="D66" s="4">
        <f t="shared" si="8"/>
        <v>0</v>
      </c>
      <c r="E66" s="5"/>
      <c r="F66" s="5"/>
      <c r="G66" s="4">
        <f t="shared" si="9"/>
        <v>0</v>
      </c>
      <c r="H66" s="5"/>
      <c r="I66" s="5"/>
      <c r="J66" s="4">
        <f t="shared" si="10"/>
        <v>0</v>
      </c>
      <c r="K66" s="5"/>
      <c r="L66" s="5"/>
      <c r="M66" s="4">
        <f t="shared" si="11"/>
        <v>0</v>
      </c>
      <c r="N66" s="5"/>
      <c r="O66" s="5"/>
      <c r="P66" s="4">
        <f t="shared" si="12"/>
        <v>0</v>
      </c>
      <c r="Q66" s="4">
        <f t="shared" si="13"/>
        <v>0</v>
      </c>
      <c r="R66" s="4">
        <f t="shared" si="13"/>
        <v>0</v>
      </c>
      <c r="S66" s="4">
        <f t="shared" si="14"/>
        <v>0</v>
      </c>
    </row>
    <row r="67" spans="1:19" x14ac:dyDescent="0.25">
      <c r="A67" s="3" t="s">
        <v>243</v>
      </c>
      <c r="B67" s="4">
        <f>53380.12</f>
        <v>53380.12</v>
      </c>
      <c r="C67" s="4">
        <f>80463.65</f>
        <v>80463.649999999994</v>
      </c>
      <c r="D67" s="4">
        <f t="shared" si="8"/>
        <v>-27083.529999999992</v>
      </c>
      <c r="E67" s="4">
        <f>51156.35</f>
        <v>51156.35</v>
      </c>
      <c r="F67" s="4">
        <f>48817.81</f>
        <v>48817.81</v>
      </c>
      <c r="G67" s="4">
        <f t="shared" si="9"/>
        <v>2338.5400000000009</v>
      </c>
      <c r="H67" s="4">
        <f>42481.05</f>
        <v>42481.05</v>
      </c>
      <c r="I67" s="4">
        <f>47476.5</f>
        <v>47476.5</v>
      </c>
      <c r="J67" s="4">
        <f t="shared" si="10"/>
        <v>-4995.4499999999971</v>
      </c>
      <c r="K67" s="4">
        <f>43995.62</f>
        <v>43995.62</v>
      </c>
      <c r="L67" s="4">
        <f>48384.2</f>
        <v>48384.2</v>
      </c>
      <c r="M67" s="4">
        <f t="shared" si="11"/>
        <v>-4388.5799999999945</v>
      </c>
      <c r="N67" s="4">
        <f>68004.13</f>
        <v>68004.13</v>
      </c>
      <c r="O67" s="4">
        <f>48347.56</f>
        <v>48347.56</v>
      </c>
      <c r="P67" s="4">
        <f t="shared" si="12"/>
        <v>19656.570000000007</v>
      </c>
      <c r="Q67" s="4">
        <f t="shared" si="13"/>
        <v>259017.27000000002</v>
      </c>
      <c r="R67" s="4">
        <f t="shared" si="13"/>
        <v>273489.71999999997</v>
      </c>
      <c r="S67" s="4">
        <f t="shared" si="14"/>
        <v>-14472.449999999953</v>
      </c>
    </row>
    <row r="68" spans="1:19" x14ac:dyDescent="0.25">
      <c r="A68" s="3" t="s">
        <v>244</v>
      </c>
      <c r="B68" s="6">
        <f>(B66)+(B67)</f>
        <v>53380.12</v>
      </c>
      <c r="C68" s="6">
        <f>(C66)+(C67)</f>
        <v>80463.649999999994</v>
      </c>
      <c r="D68" s="6">
        <f t="shared" si="8"/>
        <v>-27083.529999999992</v>
      </c>
      <c r="E68" s="6">
        <f>(E66)+(E67)</f>
        <v>51156.35</v>
      </c>
      <c r="F68" s="6">
        <f>(F66)+(F67)</f>
        <v>48817.81</v>
      </c>
      <c r="G68" s="6">
        <f t="shared" si="9"/>
        <v>2338.5400000000009</v>
      </c>
      <c r="H68" s="6">
        <f>(H66)+(H67)</f>
        <v>42481.05</v>
      </c>
      <c r="I68" s="6">
        <f>(I66)+(I67)</f>
        <v>47476.5</v>
      </c>
      <c r="J68" s="6">
        <f t="shared" si="10"/>
        <v>-4995.4499999999971</v>
      </c>
      <c r="K68" s="6">
        <f>(K66)+(K67)</f>
        <v>43995.62</v>
      </c>
      <c r="L68" s="6">
        <f>(L66)+(L67)</f>
        <v>48384.2</v>
      </c>
      <c r="M68" s="6">
        <f t="shared" si="11"/>
        <v>-4388.5799999999945</v>
      </c>
      <c r="N68" s="6">
        <f>(N66)+(N67)</f>
        <v>68004.13</v>
      </c>
      <c r="O68" s="6">
        <f>(O66)+(O67)</f>
        <v>48347.56</v>
      </c>
      <c r="P68" s="6">
        <f t="shared" si="12"/>
        <v>19656.570000000007</v>
      </c>
      <c r="Q68" s="6">
        <f t="shared" si="13"/>
        <v>259017.27000000002</v>
      </c>
      <c r="R68" s="6">
        <f t="shared" si="13"/>
        <v>273489.71999999997</v>
      </c>
      <c r="S68" s="6">
        <f t="shared" si="14"/>
        <v>-14472.449999999953</v>
      </c>
    </row>
    <row r="69" spans="1:19" x14ac:dyDescent="0.25">
      <c r="A69" s="3" t="s">
        <v>245</v>
      </c>
      <c r="B69" s="5"/>
      <c r="C69" s="5"/>
      <c r="D69" s="4">
        <f t="shared" si="8"/>
        <v>0</v>
      </c>
      <c r="E69" s="5"/>
      <c r="F69" s="5"/>
      <c r="G69" s="4">
        <f t="shared" si="9"/>
        <v>0</v>
      </c>
      <c r="H69" s="5"/>
      <c r="I69" s="5"/>
      <c r="J69" s="4">
        <f t="shared" si="10"/>
        <v>0</v>
      </c>
      <c r="K69" s="5"/>
      <c r="L69" s="5"/>
      <c r="M69" s="4">
        <f t="shared" si="11"/>
        <v>0</v>
      </c>
      <c r="N69" s="5"/>
      <c r="O69" s="5"/>
      <c r="P69" s="4">
        <f t="shared" si="12"/>
        <v>0</v>
      </c>
      <c r="Q69" s="4">
        <f t="shared" si="13"/>
        <v>0</v>
      </c>
      <c r="R69" s="4">
        <f t="shared" si="13"/>
        <v>0</v>
      </c>
      <c r="S69" s="4">
        <f t="shared" si="14"/>
        <v>0</v>
      </c>
    </row>
    <row r="70" spans="1:19" x14ac:dyDescent="0.25">
      <c r="A70" s="3" t="s">
        <v>246</v>
      </c>
      <c r="B70" s="4">
        <f>3564.48</f>
        <v>3564.48</v>
      </c>
      <c r="C70" s="4">
        <f>15925.61</f>
        <v>15925.61</v>
      </c>
      <c r="D70" s="4">
        <f t="shared" si="8"/>
        <v>-12361.130000000001</v>
      </c>
      <c r="E70" s="4">
        <f>2280</f>
        <v>2280</v>
      </c>
      <c r="F70" s="4">
        <f>11488.41</f>
        <v>11488.41</v>
      </c>
      <c r="G70" s="4">
        <f t="shared" si="9"/>
        <v>-9208.41</v>
      </c>
      <c r="H70" s="4">
        <f>2400</f>
        <v>2400</v>
      </c>
      <c r="I70" s="4">
        <f>11783.26</f>
        <v>11783.26</v>
      </c>
      <c r="J70" s="4">
        <f t="shared" si="10"/>
        <v>-9383.26</v>
      </c>
      <c r="K70" s="4">
        <f>2400</f>
        <v>2400</v>
      </c>
      <c r="L70" s="4">
        <f>11904.66</f>
        <v>11904.66</v>
      </c>
      <c r="M70" s="4">
        <f t="shared" si="11"/>
        <v>-9504.66</v>
      </c>
      <c r="N70" s="4">
        <f>3600</f>
        <v>3600</v>
      </c>
      <c r="O70" s="4">
        <f>10441.38</f>
        <v>10441.379999999999</v>
      </c>
      <c r="P70" s="4">
        <f t="shared" si="12"/>
        <v>-6841.3799999999992</v>
      </c>
      <c r="Q70" s="4">
        <f t="shared" si="13"/>
        <v>14244.48</v>
      </c>
      <c r="R70" s="4">
        <f t="shared" si="13"/>
        <v>61543.32</v>
      </c>
      <c r="S70" s="4">
        <f t="shared" si="14"/>
        <v>-47298.84</v>
      </c>
    </row>
    <row r="71" spans="1:19" x14ac:dyDescent="0.25">
      <c r="A71" s="3" t="s">
        <v>247</v>
      </c>
      <c r="B71" s="6">
        <f>(B69)+(B70)</f>
        <v>3564.48</v>
      </c>
      <c r="C71" s="6">
        <f>(C69)+(C70)</f>
        <v>15925.61</v>
      </c>
      <c r="D71" s="6">
        <f t="shared" si="8"/>
        <v>-12361.130000000001</v>
      </c>
      <c r="E71" s="6">
        <f>(E69)+(E70)</f>
        <v>2280</v>
      </c>
      <c r="F71" s="6">
        <f>(F69)+(F70)</f>
        <v>11488.41</v>
      </c>
      <c r="G71" s="6">
        <f t="shared" si="9"/>
        <v>-9208.41</v>
      </c>
      <c r="H71" s="6">
        <f>(H69)+(H70)</f>
        <v>2400</v>
      </c>
      <c r="I71" s="6">
        <f>(I69)+(I70)</f>
        <v>11783.26</v>
      </c>
      <c r="J71" s="6">
        <f t="shared" si="10"/>
        <v>-9383.26</v>
      </c>
      <c r="K71" s="6">
        <f>(K69)+(K70)</f>
        <v>2400</v>
      </c>
      <c r="L71" s="6">
        <f>(L69)+(L70)</f>
        <v>11904.66</v>
      </c>
      <c r="M71" s="6">
        <f t="shared" si="11"/>
        <v>-9504.66</v>
      </c>
      <c r="N71" s="6">
        <f>(N69)+(N70)</f>
        <v>3600</v>
      </c>
      <c r="O71" s="6">
        <f>(O69)+(O70)</f>
        <v>10441.379999999999</v>
      </c>
      <c r="P71" s="6">
        <f t="shared" si="12"/>
        <v>-6841.3799999999992</v>
      </c>
      <c r="Q71" s="6">
        <f t="shared" si="13"/>
        <v>14244.48</v>
      </c>
      <c r="R71" s="6">
        <f t="shared" si="13"/>
        <v>61543.32</v>
      </c>
      <c r="S71" s="6">
        <f t="shared" si="14"/>
        <v>-47298.84</v>
      </c>
    </row>
    <row r="72" spans="1:19" x14ac:dyDescent="0.25">
      <c r="A72" s="3" t="s">
        <v>248</v>
      </c>
      <c r="B72" s="4">
        <f>2000</f>
        <v>2000</v>
      </c>
      <c r="C72" s="5"/>
      <c r="D72" s="4">
        <f t="shared" si="8"/>
        <v>2000</v>
      </c>
      <c r="E72" s="5"/>
      <c r="F72" s="5"/>
      <c r="G72" s="4">
        <f t="shared" si="9"/>
        <v>0</v>
      </c>
      <c r="H72" s="5"/>
      <c r="I72" s="5"/>
      <c r="J72" s="4">
        <f t="shared" si="10"/>
        <v>0</v>
      </c>
      <c r="K72" s="4">
        <f>400</f>
        <v>400</v>
      </c>
      <c r="L72" s="5"/>
      <c r="M72" s="4">
        <f t="shared" si="11"/>
        <v>400</v>
      </c>
      <c r="N72" s="4">
        <f>250</f>
        <v>250</v>
      </c>
      <c r="O72" s="5"/>
      <c r="P72" s="4">
        <f t="shared" si="12"/>
        <v>250</v>
      </c>
      <c r="Q72" s="4">
        <f t="shared" si="13"/>
        <v>2650</v>
      </c>
      <c r="R72" s="4">
        <f t="shared" si="13"/>
        <v>0</v>
      </c>
      <c r="S72" s="4">
        <f t="shared" si="14"/>
        <v>2650</v>
      </c>
    </row>
    <row r="73" spans="1:19" x14ac:dyDescent="0.25">
      <c r="A73" s="3" t="s">
        <v>249</v>
      </c>
      <c r="B73" s="6">
        <f>((((B61)+(B65))+(B68))+(B71))+(B72)</f>
        <v>144708.04</v>
      </c>
      <c r="C73" s="6">
        <f>((((C61)+(C65))+(C68))+(C71))+(C72)</f>
        <v>267070.06</v>
      </c>
      <c r="D73" s="6">
        <f t="shared" si="8"/>
        <v>-122362.01999999999</v>
      </c>
      <c r="E73" s="6">
        <f>((((E61)+(E65))+(E68))+(E71))+(E72)</f>
        <v>147328.35</v>
      </c>
      <c r="F73" s="6">
        <f>((((F61)+(F65))+(F68))+(F71))+(F72)</f>
        <v>179079.51</v>
      </c>
      <c r="G73" s="6">
        <f t="shared" si="9"/>
        <v>-31751.160000000003</v>
      </c>
      <c r="H73" s="6">
        <f>((((H61)+(H65))+(H68))+(H71))+(H72)</f>
        <v>149959.58000000002</v>
      </c>
      <c r="I73" s="6">
        <f>((((I61)+(I65))+(I68))+(I71))+(I72)</f>
        <v>174469.51</v>
      </c>
      <c r="J73" s="6">
        <f t="shared" si="10"/>
        <v>-24509.929999999993</v>
      </c>
      <c r="K73" s="6">
        <f>((((K61)+(K65))+(K68))+(K71))+(K72)</f>
        <v>144910.74</v>
      </c>
      <c r="L73" s="6">
        <f>((((L61)+(L65))+(L68))+(L71))+(L72)</f>
        <v>171869.38</v>
      </c>
      <c r="M73" s="6">
        <f t="shared" si="11"/>
        <v>-26958.640000000014</v>
      </c>
      <c r="N73" s="6">
        <f>((((N61)+(N65))+(N68))+(N71))+(N72)</f>
        <v>220854.1</v>
      </c>
      <c r="O73" s="6">
        <f>((((O61)+(O65))+(O68))+(O71))+(O72)</f>
        <v>175291.05</v>
      </c>
      <c r="P73" s="6">
        <f t="shared" si="12"/>
        <v>45563.050000000017</v>
      </c>
      <c r="Q73" s="6">
        <f t="shared" si="13"/>
        <v>807760.80999999994</v>
      </c>
      <c r="R73" s="6">
        <f t="shared" si="13"/>
        <v>967779.51</v>
      </c>
      <c r="S73" s="6">
        <f t="shared" si="14"/>
        <v>-160018.70000000007</v>
      </c>
    </row>
    <row r="74" spans="1:19" x14ac:dyDescent="0.25">
      <c r="A74" s="3" t="s">
        <v>250</v>
      </c>
      <c r="B74" s="5"/>
      <c r="C74" s="5"/>
      <c r="D74" s="4">
        <f t="shared" si="8"/>
        <v>0</v>
      </c>
      <c r="E74" s="5"/>
      <c r="F74" s="5"/>
      <c r="G74" s="4">
        <f t="shared" si="9"/>
        <v>0</v>
      </c>
      <c r="H74" s="5"/>
      <c r="I74" s="5"/>
      <c r="J74" s="4">
        <f t="shared" si="10"/>
        <v>0</v>
      </c>
      <c r="K74" s="5"/>
      <c r="L74" s="5"/>
      <c r="M74" s="4">
        <f t="shared" si="11"/>
        <v>0</v>
      </c>
      <c r="N74" s="5"/>
      <c r="O74" s="5"/>
      <c r="P74" s="4">
        <f t="shared" si="12"/>
        <v>0</v>
      </c>
      <c r="Q74" s="4">
        <f t="shared" si="13"/>
        <v>0</v>
      </c>
      <c r="R74" s="4">
        <f t="shared" si="13"/>
        <v>0</v>
      </c>
      <c r="S74" s="4">
        <f t="shared" si="14"/>
        <v>0</v>
      </c>
    </row>
    <row r="75" spans="1:19" x14ac:dyDescent="0.25">
      <c r="A75" s="3" t="s">
        <v>251</v>
      </c>
      <c r="B75" s="4">
        <f>9699.25</f>
        <v>9699.25</v>
      </c>
      <c r="C75" s="4">
        <f>18212.51</f>
        <v>18212.509999999998</v>
      </c>
      <c r="D75" s="4">
        <f t="shared" si="8"/>
        <v>-8513.2599999999984</v>
      </c>
      <c r="E75" s="4">
        <f>10062.07</f>
        <v>10062.07</v>
      </c>
      <c r="F75" s="4">
        <f>12017.94</f>
        <v>12017.94</v>
      </c>
      <c r="G75" s="4">
        <f t="shared" si="9"/>
        <v>-1955.8700000000008</v>
      </c>
      <c r="H75" s="4">
        <f>10269.64</f>
        <v>10269.64</v>
      </c>
      <c r="I75" s="4">
        <f>11576.21</f>
        <v>11576.21</v>
      </c>
      <c r="J75" s="4">
        <f t="shared" si="10"/>
        <v>-1306.5699999999997</v>
      </c>
      <c r="K75" s="4">
        <f>9918.98</f>
        <v>9918.98</v>
      </c>
      <c r="L75" s="4">
        <f>11684.15</f>
        <v>11684.15</v>
      </c>
      <c r="M75" s="4">
        <f t="shared" si="11"/>
        <v>-1765.17</v>
      </c>
      <c r="N75" s="4">
        <f>14871.78</f>
        <v>14871.78</v>
      </c>
      <c r="O75" s="4">
        <f>11665.4</f>
        <v>11665.4</v>
      </c>
      <c r="P75" s="4">
        <f t="shared" si="12"/>
        <v>3206.380000000001</v>
      </c>
      <c r="Q75" s="4">
        <f t="shared" si="13"/>
        <v>54821.72</v>
      </c>
      <c r="R75" s="4">
        <f t="shared" si="13"/>
        <v>65156.21</v>
      </c>
      <c r="S75" s="4">
        <f t="shared" si="14"/>
        <v>-10334.489999999998</v>
      </c>
    </row>
    <row r="76" spans="1:19" x14ac:dyDescent="0.25">
      <c r="A76" s="3" t="s">
        <v>252</v>
      </c>
      <c r="B76" s="5"/>
      <c r="C76" s="4">
        <f>-508.52</f>
        <v>-508.52</v>
      </c>
      <c r="D76" s="4">
        <f t="shared" si="8"/>
        <v>508.52</v>
      </c>
      <c r="E76" s="5"/>
      <c r="F76" s="4">
        <f>-502.68</f>
        <v>-502.68</v>
      </c>
      <c r="G76" s="4">
        <f t="shared" si="9"/>
        <v>502.68</v>
      </c>
      <c r="H76" s="5"/>
      <c r="I76" s="4">
        <f>-485.88</f>
        <v>-485.88</v>
      </c>
      <c r="J76" s="4">
        <f t="shared" si="10"/>
        <v>485.88</v>
      </c>
      <c r="K76" s="4">
        <f>800</f>
        <v>800</v>
      </c>
      <c r="L76" s="4">
        <f>-455.28</f>
        <v>-455.28</v>
      </c>
      <c r="M76" s="4">
        <f t="shared" si="11"/>
        <v>1255.28</v>
      </c>
      <c r="N76" s="5"/>
      <c r="O76" s="4">
        <f>-424.68</f>
        <v>-424.68</v>
      </c>
      <c r="P76" s="4">
        <f t="shared" si="12"/>
        <v>424.68</v>
      </c>
      <c r="Q76" s="4">
        <f t="shared" si="13"/>
        <v>800</v>
      </c>
      <c r="R76" s="4">
        <f t="shared" si="13"/>
        <v>-2377.04</v>
      </c>
      <c r="S76" s="4">
        <f t="shared" si="14"/>
        <v>3177.04</v>
      </c>
    </row>
    <row r="77" spans="1:19" x14ac:dyDescent="0.25">
      <c r="A77" s="3" t="s">
        <v>253</v>
      </c>
      <c r="B77" s="4">
        <f>7431.06</f>
        <v>7431.06</v>
      </c>
      <c r="C77" s="4">
        <f>1522.36</f>
        <v>1522.36</v>
      </c>
      <c r="D77" s="4">
        <f t="shared" si="8"/>
        <v>5908.7000000000007</v>
      </c>
      <c r="E77" s="4">
        <f>4345.36</f>
        <v>4345.3599999999997</v>
      </c>
      <c r="F77" s="4">
        <f>4096.72</f>
        <v>4096.72</v>
      </c>
      <c r="G77" s="4">
        <f t="shared" si="9"/>
        <v>248.63999999999942</v>
      </c>
      <c r="H77" s="4">
        <f>10502.14</f>
        <v>10502.14</v>
      </c>
      <c r="I77" s="4">
        <f>2081.2</f>
        <v>2081.1999999999998</v>
      </c>
      <c r="J77" s="4">
        <f t="shared" si="10"/>
        <v>8420.9399999999987</v>
      </c>
      <c r="K77" s="4">
        <f>7762.01</f>
        <v>7762.01</v>
      </c>
      <c r="L77" s="4">
        <f>1137.81</f>
        <v>1137.81</v>
      </c>
      <c r="M77" s="4">
        <f t="shared" si="11"/>
        <v>6624.2000000000007</v>
      </c>
      <c r="N77" s="4">
        <f>5602.12</f>
        <v>5602.12</v>
      </c>
      <c r="O77" s="4">
        <f>1198.32</f>
        <v>1198.32</v>
      </c>
      <c r="P77" s="4">
        <f t="shared" si="12"/>
        <v>4403.8</v>
      </c>
      <c r="Q77" s="4">
        <f t="shared" si="13"/>
        <v>35642.69</v>
      </c>
      <c r="R77" s="4">
        <f t="shared" si="13"/>
        <v>10036.41</v>
      </c>
      <c r="S77" s="4">
        <f t="shared" si="14"/>
        <v>25606.280000000002</v>
      </c>
    </row>
    <row r="78" spans="1:19" x14ac:dyDescent="0.25">
      <c r="A78" s="3" t="s">
        <v>254</v>
      </c>
      <c r="B78" s="5"/>
      <c r="C78" s="5"/>
      <c r="D78" s="4">
        <f t="shared" si="8"/>
        <v>0</v>
      </c>
      <c r="E78" s="5"/>
      <c r="F78" s="5"/>
      <c r="G78" s="4">
        <f t="shared" si="9"/>
        <v>0</v>
      </c>
      <c r="H78" s="5"/>
      <c r="I78" s="5"/>
      <c r="J78" s="4">
        <f t="shared" si="10"/>
        <v>0</v>
      </c>
      <c r="K78" s="5"/>
      <c r="L78" s="5"/>
      <c r="M78" s="4">
        <f t="shared" si="11"/>
        <v>0</v>
      </c>
      <c r="N78" s="4">
        <f>15400</f>
        <v>15400</v>
      </c>
      <c r="O78" s="5"/>
      <c r="P78" s="4">
        <f t="shared" si="12"/>
        <v>15400</v>
      </c>
      <c r="Q78" s="4">
        <f t="shared" si="13"/>
        <v>15400</v>
      </c>
      <c r="R78" s="4">
        <f t="shared" si="13"/>
        <v>0</v>
      </c>
      <c r="S78" s="4">
        <f t="shared" si="14"/>
        <v>15400</v>
      </c>
    </row>
    <row r="79" spans="1:19" x14ac:dyDescent="0.25">
      <c r="A79" s="3" t="s">
        <v>356</v>
      </c>
      <c r="B79" s="5"/>
      <c r="C79" s="4">
        <f>-1459.7</f>
        <v>-1459.7</v>
      </c>
      <c r="D79" s="4">
        <f t="shared" si="8"/>
        <v>1459.7</v>
      </c>
      <c r="E79" s="5"/>
      <c r="F79" s="4">
        <f>-747.76</f>
        <v>-747.76</v>
      </c>
      <c r="G79" s="4">
        <f t="shared" si="9"/>
        <v>747.76</v>
      </c>
      <c r="H79" s="5"/>
      <c r="I79" s="4">
        <f>-629.37</f>
        <v>-629.37</v>
      </c>
      <c r="J79" s="4">
        <f t="shared" si="10"/>
        <v>629.37</v>
      </c>
      <c r="K79" s="5"/>
      <c r="L79" s="4">
        <f>-710.07</f>
        <v>-710.07</v>
      </c>
      <c r="M79" s="4">
        <f t="shared" si="11"/>
        <v>710.07</v>
      </c>
      <c r="N79" s="5"/>
      <c r="O79" s="4">
        <f>-671.65</f>
        <v>-671.65</v>
      </c>
      <c r="P79" s="4">
        <f t="shared" si="12"/>
        <v>671.65</v>
      </c>
      <c r="Q79" s="4">
        <f t="shared" si="13"/>
        <v>0</v>
      </c>
      <c r="R79" s="4">
        <f t="shared" si="13"/>
        <v>-4218.55</v>
      </c>
      <c r="S79" s="4">
        <f t="shared" si="14"/>
        <v>4218.55</v>
      </c>
    </row>
    <row r="80" spans="1:19" x14ac:dyDescent="0.25">
      <c r="A80" s="3" t="s">
        <v>255</v>
      </c>
      <c r="B80" s="6">
        <f>(((((B74)+(B75))+(B76))+(B77))+(B78))+(B79)</f>
        <v>17130.310000000001</v>
      </c>
      <c r="C80" s="6">
        <f>(((((C74)+(C75))+(C76))+(C77))+(C78))+(C79)</f>
        <v>17766.649999999998</v>
      </c>
      <c r="D80" s="6">
        <f t="shared" si="8"/>
        <v>-636.33999999999651</v>
      </c>
      <c r="E80" s="6">
        <f>(((((E74)+(E75))+(E76))+(E77))+(E78))+(E79)</f>
        <v>14407.43</v>
      </c>
      <c r="F80" s="6">
        <f>(((((F74)+(F75))+(F76))+(F77))+(F78))+(F79)</f>
        <v>14864.22</v>
      </c>
      <c r="G80" s="6">
        <f t="shared" si="9"/>
        <v>-456.78999999999905</v>
      </c>
      <c r="H80" s="6">
        <f>(((((H74)+(H75))+(H76))+(H77))+(H78))+(H79)</f>
        <v>20771.78</v>
      </c>
      <c r="I80" s="6">
        <f>(((((I74)+(I75))+(I76))+(I77))+(I78))+(I79)</f>
        <v>12542.159999999998</v>
      </c>
      <c r="J80" s="6">
        <f t="shared" si="10"/>
        <v>8229.6200000000008</v>
      </c>
      <c r="K80" s="6">
        <f>(((((K74)+(K75))+(K76))+(K77))+(K78))+(K79)</f>
        <v>18480.989999999998</v>
      </c>
      <c r="L80" s="6">
        <f>(((((L74)+(L75))+(L76))+(L77))+(L78))+(L79)</f>
        <v>11656.609999999999</v>
      </c>
      <c r="M80" s="6">
        <f t="shared" si="11"/>
        <v>6824.3799999999992</v>
      </c>
      <c r="N80" s="6">
        <f>(((((N74)+(N75))+(N76))+(N77))+(N78))+(N79)</f>
        <v>35873.9</v>
      </c>
      <c r="O80" s="6">
        <f>(((((O74)+(O75))+(O76))+(O77))+(O78))+(O79)</f>
        <v>11767.39</v>
      </c>
      <c r="P80" s="6">
        <f t="shared" si="12"/>
        <v>24106.510000000002</v>
      </c>
      <c r="Q80" s="6">
        <f t="shared" si="13"/>
        <v>106664.41</v>
      </c>
      <c r="R80" s="6">
        <f t="shared" si="13"/>
        <v>68597.03</v>
      </c>
      <c r="S80" s="6">
        <f t="shared" si="14"/>
        <v>38067.380000000005</v>
      </c>
    </row>
    <row r="81" spans="1:19" x14ac:dyDescent="0.25">
      <c r="A81" s="3" t="s">
        <v>256</v>
      </c>
      <c r="B81" s="5"/>
      <c r="C81" s="5"/>
      <c r="D81" s="4">
        <f t="shared" si="8"/>
        <v>0</v>
      </c>
      <c r="E81" s="5"/>
      <c r="F81" s="5"/>
      <c r="G81" s="4">
        <f t="shared" si="9"/>
        <v>0</v>
      </c>
      <c r="H81" s="5"/>
      <c r="I81" s="5"/>
      <c r="J81" s="4">
        <f t="shared" si="10"/>
        <v>0</v>
      </c>
      <c r="K81" s="5"/>
      <c r="L81" s="5"/>
      <c r="M81" s="4">
        <f t="shared" si="11"/>
        <v>0</v>
      </c>
      <c r="N81" s="5"/>
      <c r="O81" s="5"/>
      <c r="P81" s="4">
        <f t="shared" si="12"/>
        <v>0</v>
      </c>
      <c r="Q81" s="4">
        <f t="shared" si="13"/>
        <v>0</v>
      </c>
      <c r="R81" s="4">
        <f t="shared" si="13"/>
        <v>0</v>
      </c>
      <c r="S81" s="4">
        <f t="shared" si="14"/>
        <v>0</v>
      </c>
    </row>
    <row r="82" spans="1:19" x14ac:dyDescent="0.25">
      <c r="A82" s="3" t="s">
        <v>257</v>
      </c>
      <c r="B82" s="5"/>
      <c r="C82" s="5"/>
      <c r="D82" s="4">
        <f t="shared" si="8"/>
        <v>0</v>
      </c>
      <c r="E82" s="5"/>
      <c r="F82" s="5"/>
      <c r="G82" s="4">
        <f t="shared" si="9"/>
        <v>0</v>
      </c>
      <c r="H82" s="5"/>
      <c r="I82" s="5"/>
      <c r="J82" s="4">
        <f t="shared" si="10"/>
        <v>0</v>
      </c>
      <c r="K82" s="5"/>
      <c r="L82" s="5"/>
      <c r="M82" s="4">
        <f t="shared" si="11"/>
        <v>0</v>
      </c>
      <c r="N82" s="5"/>
      <c r="O82" s="5"/>
      <c r="P82" s="4">
        <f t="shared" si="12"/>
        <v>0</v>
      </c>
      <c r="Q82" s="4">
        <f t="shared" si="13"/>
        <v>0</v>
      </c>
      <c r="R82" s="4">
        <f t="shared" si="13"/>
        <v>0</v>
      </c>
      <c r="S82" s="4">
        <f t="shared" si="14"/>
        <v>0</v>
      </c>
    </row>
    <row r="83" spans="1:19" x14ac:dyDescent="0.25">
      <c r="A83" s="3" t="s">
        <v>258</v>
      </c>
      <c r="B83" s="4">
        <f>35.15</f>
        <v>35.15</v>
      </c>
      <c r="C83" s="4">
        <f>368.35</f>
        <v>368.35</v>
      </c>
      <c r="D83" s="4">
        <f t="shared" si="8"/>
        <v>-333.20000000000005</v>
      </c>
      <c r="E83" s="4">
        <f>238.01</f>
        <v>238.01</v>
      </c>
      <c r="F83" s="4">
        <f>70.3</f>
        <v>70.3</v>
      </c>
      <c r="G83" s="4">
        <f t="shared" si="9"/>
        <v>167.70999999999998</v>
      </c>
      <c r="H83" s="4">
        <f>0</f>
        <v>0</v>
      </c>
      <c r="I83" s="4">
        <f>105.45</f>
        <v>105.45</v>
      </c>
      <c r="J83" s="4">
        <f t="shared" si="10"/>
        <v>-105.45</v>
      </c>
      <c r="K83" s="4">
        <f>-35.15</f>
        <v>-35.15</v>
      </c>
      <c r="L83" s="4">
        <f>291.75</f>
        <v>291.75</v>
      </c>
      <c r="M83" s="4">
        <f t="shared" si="11"/>
        <v>-326.89999999999998</v>
      </c>
      <c r="N83" s="4">
        <f>115.56</f>
        <v>115.56</v>
      </c>
      <c r="O83" s="5"/>
      <c r="P83" s="4">
        <f t="shared" si="12"/>
        <v>115.56</v>
      </c>
      <c r="Q83" s="4">
        <f t="shared" si="13"/>
        <v>353.56999999999994</v>
      </c>
      <c r="R83" s="4">
        <f t="shared" si="13"/>
        <v>835.85</v>
      </c>
      <c r="S83" s="4">
        <f t="shared" si="14"/>
        <v>-482.28000000000009</v>
      </c>
    </row>
    <row r="84" spans="1:19" x14ac:dyDescent="0.25">
      <c r="A84" s="3" t="s">
        <v>259</v>
      </c>
      <c r="B84" s="6">
        <f>(B82)+(B83)</f>
        <v>35.15</v>
      </c>
      <c r="C84" s="6">
        <f>(C82)+(C83)</f>
        <v>368.35</v>
      </c>
      <c r="D84" s="6">
        <f t="shared" si="8"/>
        <v>-333.20000000000005</v>
      </c>
      <c r="E84" s="6">
        <f>(E82)+(E83)</f>
        <v>238.01</v>
      </c>
      <c r="F84" s="6">
        <f>(F82)+(F83)</f>
        <v>70.3</v>
      </c>
      <c r="G84" s="6">
        <f t="shared" si="9"/>
        <v>167.70999999999998</v>
      </c>
      <c r="H84" s="6">
        <f>(H82)+(H83)</f>
        <v>0</v>
      </c>
      <c r="I84" s="6">
        <f>(I82)+(I83)</f>
        <v>105.45</v>
      </c>
      <c r="J84" s="6">
        <f t="shared" si="10"/>
        <v>-105.45</v>
      </c>
      <c r="K84" s="6">
        <f>(K82)+(K83)</f>
        <v>-35.15</v>
      </c>
      <c r="L84" s="6">
        <f>(L82)+(L83)</f>
        <v>291.75</v>
      </c>
      <c r="M84" s="6">
        <f t="shared" si="11"/>
        <v>-326.89999999999998</v>
      </c>
      <c r="N84" s="6">
        <f>(N82)+(N83)</f>
        <v>115.56</v>
      </c>
      <c r="O84" s="6">
        <f>(O82)+(O83)</f>
        <v>0</v>
      </c>
      <c r="P84" s="6">
        <f t="shared" si="12"/>
        <v>115.56</v>
      </c>
      <c r="Q84" s="6">
        <f t="shared" si="13"/>
        <v>353.56999999999994</v>
      </c>
      <c r="R84" s="6">
        <f t="shared" si="13"/>
        <v>835.85</v>
      </c>
      <c r="S84" s="6">
        <f t="shared" si="14"/>
        <v>-482.28000000000009</v>
      </c>
    </row>
    <row r="85" spans="1:19" x14ac:dyDescent="0.25">
      <c r="A85" s="3" t="s">
        <v>260</v>
      </c>
      <c r="B85" s="5"/>
      <c r="C85" s="5"/>
      <c r="D85" s="4">
        <f t="shared" si="8"/>
        <v>0</v>
      </c>
      <c r="E85" s="5"/>
      <c r="F85" s="5"/>
      <c r="G85" s="4">
        <f t="shared" si="9"/>
        <v>0</v>
      </c>
      <c r="H85" s="5"/>
      <c r="I85" s="5"/>
      <c r="J85" s="4">
        <f t="shared" si="10"/>
        <v>0</v>
      </c>
      <c r="K85" s="5"/>
      <c r="L85" s="5"/>
      <c r="M85" s="4">
        <f t="shared" si="11"/>
        <v>0</v>
      </c>
      <c r="N85" s="5"/>
      <c r="O85" s="4">
        <f>329.76</f>
        <v>329.76</v>
      </c>
      <c r="P85" s="4">
        <f t="shared" si="12"/>
        <v>-329.76</v>
      </c>
      <c r="Q85" s="4">
        <f t="shared" si="13"/>
        <v>0</v>
      </c>
      <c r="R85" s="4">
        <f t="shared" si="13"/>
        <v>329.76</v>
      </c>
      <c r="S85" s="4">
        <f t="shared" si="14"/>
        <v>-329.76</v>
      </c>
    </row>
    <row r="86" spans="1:19" x14ac:dyDescent="0.25">
      <c r="A86" s="3" t="s">
        <v>261</v>
      </c>
      <c r="B86" s="4">
        <f>5080.5</f>
        <v>5080.5</v>
      </c>
      <c r="C86" s="4">
        <f>24144.38</f>
        <v>24144.38</v>
      </c>
      <c r="D86" s="4">
        <f t="shared" si="8"/>
        <v>-19063.88</v>
      </c>
      <c r="E86" s="4">
        <f>3150</f>
        <v>3150</v>
      </c>
      <c r="F86" s="4">
        <f>20372.09</f>
        <v>20372.09</v>
      </c>
      <c r="G86" s="4">
        <f t="shared" si="9"/>
        <v>-17222.09</v>
      </c>
      <c r="H86" s="4">
        <f>3150</f>
        <v>3150</v>
      </c>
      <c r="I86" s="4">
        <f>22488.61</f>
        <v>22488.61</v>
      </c>
      <c r="J86" s="4">
        <f t="shared" si="10"/>
        <v>-19338.61</v>
      </c>
      <c r="K86" s="4">
        <f>792</f>
        <v>792</v>
      </c>
      <c r="L86" s="4">
        <f>14417.73</f>
        <v>14417.73</v>
      </c>
      <c r="M86" s="4">
        <f t="shared" si="11"/>
        <v>-13625.73</v>
      </c>
      <c r="N86" s="4">
        <f>4661.5</f>
        <v>4661.5</v>
      </c>
      <c r="O86" s="4">
        <f>7482.07</f>
        <v>7482.07</v>
      </c>
      <c r="P86" s="4">
        <f t="shared" si="12"/>
        <v>-2820.5699999999997</v>
      </c>
      <c r="Q86" s="4">
        <f t="shared" si="13"/>
        <v>16834</v>
      </c>
      <c r="R86" s="4">
        <f t="shared" si="13"/>
        <v>88904.88</v>
      </c>
      <c r="S86" s="4">
        <f t="shared" si="14"/>
        <v>-72070.880000000005</v>
      </c>
    </row>
    <row r="87" spans="1:19" x14ac:dyDescent="0.25">
      <c r="A87" s="3" t="s">
        <v>262</v>
      </c>
      <c r="B87" s="4">
        <f>925.08</f>
        <v>925.08</v>
      </c>
      <c r="C87" s="5"/>
      <c r="D87" s="4">
        <f t="shared" si="8"/>
        <v>925.08</v>
      </c>
      <c r="E87" s="4">
        <f>820</f>
        <v>820</v>
      </c>
      <c r="F87" s="5"/>
      <c r="G87" s="4">
        <f t="shared" si="9"/>
        <v>820</v>
      </c>
      <c r="H87" s="4">
        <f>790</f>
        <v>790</v>
      </c>
      <c r="I87" s="5"/>
      <c r="J87" s="4">
        <f t="shared" si="10"/>
        <v>790</v>
      </c>
      <c r="K87" s="4">
        <f>770</f>
        <v>770</v>
      </c>
      <c r="L87" s="5"/>
      <c r="M87" s="4">
        <f t="shared" si="11"/>
        <v>770</v>
      </c>
      <c r="N87" s="5"/>
      <c r="O87" s="4">
        <f>-184.7</f>
        <v>-184.7</v>
      </c>
      <c r="P87" s="4">
        <f t="shared" si="12"/>
        <v>184.7</v>
      </c>
      <c r="Q87" s="4">
        <f t="shared" si="13"/>
        <v>3305.08</v>
      </c>
      <c r="R87" s="4">
        <f t="shared" si="13"/>
        <v>-184.7</v>
      </c>
      <c r="S87" s="4">
        <f t="shared" si="14"/>
        <v>3489.7799999999997</v>
      </c>
    </row>
    <row r="88" spans="1:19" x14ac:dyDescent="0.25">
      <c r="A88" s="3" t="s">
        <v>263</v>
      </c>
      <c r="B88" s="4">
        <f>4994.65</f>
        <v>4994.6499999999996</v>
      </c>
      <c r="C88" s="5"/>
      <c r="D88" s="4">
        <f t="shared" si="8"/>
        <v>4994.6499999999996</v>
      </c>
      <c r="E88" s="4">
        <f>2430.05</f>
        <v>2430.0500000000002</v>
      </c>
      <c r="F88" s="4">
        <f>1580.38</f>
        <v>1580.38</v>
      </c>
      <c r="G88" s="4">
        <f t="shared" si="9"/>
        <v>849.67000000000007</v>
      </c>
      <c r="H88" s="4">
        <f>1290.05</f>
        <v>1290.05</v>
      </c>
      <c r="I88" s="5"/>
      <c r="J88" s="4">
        <f t="shared" si="10"/>
        <v>1290.05</v>
      </c>
      <c r="K88" s="4">
        <f>1215.05</f>
        <v>1215.05</v>
      </c>
      <c r="L88" s="4">
        <f>520.04</f>
        <v>520.04</v>
      </c>
      <c r="M88" s="4">
        <f t="shared" si="11"/>
        <v>695.01</v>
      </c>
      <c r="N88" s="4">
        <f>930.05</f>
        <v>930.05</v>
      </c>
      <c r="O88" s="4">
        <f>810.98</f>
        <v>810.98</v>
      </c>
      <c r="P88" s="4">
        <f t="shared" si="12"/>
        <v>119.06999999999994</v>
      </c>
      <c r="Q88" s="4">
        <f t="shared" si="13"/>
        <v>10859.849999999999</v>
      </c>
      <c r="R88" s="4">
        <f t="shared" si="13"/>
        <v>2911.4</v>
      </c>
      <c r="S88" s="4">
        <f t="shared" si="14"/>
        <v>7948.4499999999989</v>
      </c>
    </row>
    <row r="89" spans="1:19" x14ac:dyDescent="0.25">
      <c r="A89" s="3" t="s">
        <v>264</v>
      </c>
      <c r="B89" s="4">
        <f>44.31</f>
        <v>44.31</v>
      </c>
      <c r="C89" s="5"/>
      <c r="D89" s="4">
        <f t="shared" si="8"/>
        <v>44.31</v>
      </c>
      <c r="E89" s="4">
        <f>20.95</f>
        <v>20.95</v>
      </c>
      <c r="F89" s="4">
        <f>363.84</f>
        <v>363.84</v>
      </c>
      <c r="G89" s="4">
        <f t="shared" si="9"/>
        <v>-342.89</v>
      </c>
      <c r="H89" s="4">
        <f>27.1</f>
        <v>27.1</v>
      </c>
      <c r="I89" s="4">
        <f>808.41</f>
        <v>808.41</v>
      </c>
      <c r="J89" s="4">
        <f t="shared" si="10"/>
        <v>-781.31</v>
      </c>
      <c r="K89" s="4">
        <f>19.45</f>
        <v>19.45</v>
      </c>
      <c r="L89" s="4">
        <f>860.43</f>
        <v>860.43</v>
      </c>
      <c r="M89" s="4">
        <f t="shared" si="11"/>
        <v>-840.9799999999999</v>
      </c>
      <c r="N89" s="4">
        <f>33</f>
        <v>33</v>
      </c>
      <c r="O89" s="4">
        <f>1232.26</f>
        <v>1232.26</v>
      </c>
      <c r="P89" s="4">
        <f t="shared" si="12"/>
        <v>-1199.26</v>
      </c>
      <c r="Q89" s="4">
        <f t="shared" si="13"/>
        <v>144.81</v>
      </c>
      <c r="R89" s="4">
        <f t="shared" si="13"/>
        <v>3264.9399999999996</v>
      </c>
      <c r="S89" s="4">
        <f t="shared" si="14"/>
        <v>-3120.1299999999997</v>
      </c>
    </row>
    <row r="90" spans="1:19" x14ac:dyDescent="0.25">
      <c r="A90" s="3" t="s">
        <v>265</v>
      </c>
      <c r="B90" s="4">
        <f>459.58</f>
        <v>459.58</v>
      </c>
      <c r="C90" s="4">
        <f>2066.2</f>
        <v>2066.1999999999998</v>
      </c>
      <c r="D90" s="4">
        <f t="shared" si="8"/>
        <v>-1606.62</v>
      </c>
      <c r="E90" s="4">
        <f>449.23</f>
        <v>449.23</v>
      </c>
      <c r="F90" s="5"/>
      <c r="G90" s="4">
        <f t="shared" si="9"/>
        <v>449.23</v>
      </c>
      <c r="H90" s="4">
        <f>254.74</f>
        <v>254.74</v>
      </c>
      <c r="I90" s="5"/>
      <c r="J90" s="4">
        <f t="shared" si="10"/>
        <v>254.74</v>
      </c>
      <c r="K90" s="4">
        <f>437.82</f>
        <v>437.82</v>
      </c>
      <c r="L90" s="5"/>
      <c r="M90" s="4">
        <f t="shared" si="11"/>
        <v>437.82</v>
      </c>
      <c r="N90" s="4">
        <f>215</f>
        <v>215</v>
      </c>
      <c r="O90" s="4">
        <f>75</f>
        <v>75</v>
      </c>
      <c r="P90" s="4">
        <f t="shared" si="12"/>
        <v>140</v>
      </c>
      <c r="Q90" s="4">
        <f t="shared" si="13"/>
        <v>1816.37</v>
      </c>
      <c r="R90" s="4">
        <f t="shared" si="13"/>
        <v>2141.1999999999998</v>
      </c>
      <c r="S90" s="4">
        <f t="shared" si="14"/>
        <v>-324.82999999999993</v>
      </c>
    </row>
    <row r="91" spans="1:19" x14ac:dyDescent="0.25">
      <c r="A91" s="3" t="s">
        <v>266</v>
      </c>
      <c r="B91" s="4">
        <f>5325.26</f>
        <v>5325.26</v>
      </c>
      <c r="C91" s="4">
        <f>6506.53</f>
        <v>6506.53</v>
      </c>
      <c r="D91" s="4">
        <f t="shared" si="8"/>
        <v>-1181.2699999999995</v>
      </c>
      <c r="E91" s="4">
        <f>6817.21</f>
        <v>6817.21</v>
      </c>
      <c r="F91" s="4">
        <f>4123.41</f>
        <v>4123.41</v>
      </c>
      <c r="G91" s="4">
        <f t="shared" si="9"/>
        <v>2693.8</v>
      </c>
      <c r="H91" s="4">
        <f>5052.06</f>
        <v>5052.0600000000004</v>
      </c>
      <c r="I91" s="4">
        <f>4830.9</f>
        <v>4830.8999999999996</v>
      </c>
      <c r="J91" s="4">
        <f t="shared" si="10"/>
        <v>221.16000000000076</v>
      </c>
      <c r="K91" s="4">
        <f>5657.06</f>
        <v>5657.06</v>
      </c>
      <c r="L91" s="4">
        <f>6652.29</f>
        <v>6652.29</v>
      </c>
      <c r="M91" s="4">
        <f t="shared" si="11"/>
        <v>-995.22999999999956</v>
      </c>
      <c r="N91" s="4">
        <f>5660.64</f>
        <v>5660.64</v>
      </c>
      <c r="O91" s="4">
        <f>12090.66</f>
        <v>12090.66</v>
      </c>
      <c r="P91" s="4">
        <f t="shared" si="12"/>
        <v>-6430.0199999999995</v>
      </c>
      <c r="Q91" s="4">
        <f t="shared" si="13"/>
        <v>28512.230000000003</v>
      </c>
      <c r="R91" s="4">
        <f t="shared" si="13"/>
        <v>34203.789999999994</v>
      </c>
      <c r="S91" s="4">
        <f t="shared" si="14"/>
        <v>-5691.5599999999904</v>
      </c>
    </row>
    <row r="92" spans="1:19" x14ac:dyDescent="0.25">
      <c r="A92" s="3" t="s">
        <v>267</v>
      </c>
      <c r="B92" s="6">
        <f>((((((B85)+(B86))+(B87))+(B88))+(B89))+(B90))+(B91)</f>
        <v>16829.379999999997</v>
      </c>
      <c r="C92" s="6">
        <f>((((((C85)+(C86))+(C87))+(C88))+(C89))+(C90))+(C91)</f>
        <v>32717.11</v>
      </c>
      <c r="D92" s="6">
        <f t="shared" si="8"/>
        <v>-15887.730000000003</v>
      </c>
      <c r="E92" s="6">
        <f>((((((E85)+(E86))+(E87))+(E88))+(E89))+(E90))+(E91)</f>
        <v>13687.439999999999</v>
      </c>
      <c r="F92" s="6">
        <f>((((((F85)+(F86))+(F87))+(F88))+(F89))+(F90))+(F91)</f>
        <v>26439.72</v>
      </c>
      <c r="G92" s="6">
        <f t="shared" si="9"/>
        <v>-12752.280000000002</v>
      </c>
      <c r="H92" s="6">
        <f>((((((H85)+(H86))+(H87))+(H88))+(H89))+(H90))+(H91)</f>
        <v>10563.95</v>
      </c>
      <c r="I92" s="6">
        <f>((((((I85)+(I86))+(I87))+(I88))+(I89))+(I90))+(I91)</f>
        <v>28127.919999999998</v>
      </c>
      <c r="J92" s="6">
        <f t="shared" si="10"/>
        <v>-17563.969999999998</v>
      </c>
      <c r="K92" s="6">
        <f>((((((K85)+(K86))+(K87))+(K88))+(K89))+(K90))+(K91)</f>
        <v>8891.380000000001</v>
      </c>
      <c r="L92" s="6">
        <f>((((((L85)+(L86))+(L87))+(L88))+(L89))+(L90))+(L91)</f>
        <v>22450.49</v>
      </c>
      <c r="M92" s="6">
        <f t="shared" si="11"/>
        <v>-13559.11</v>
      </c>
      <c r="N92" s="6">
        <f>((((((N85)+(N86))+(N87))+(N88))+(N89))+(N90))+(N91)</f>
        <v>11500.19</v>
      </c>
      <c r="O92" s="6">
        <f>((((((O85)+(O86))+(O87))+(O88))+(O89))+(O90))+(O91)</f>
        <v>21836.03</v>
      </c>
      <c r="P92" s="6">
        <f t="shared" si="12"/>
        <v>-10335.839999999998</v>
      </c>
      <c r="Q92" s="6">
        <f t="shared" si="13"/>
        <v>61472.34</v>
      </c>
      <c r="R92" s="6">
        <f t="shared" si="13"/>
        <v>131571.27000000002</v>
      </c>
      <c r="S92" s="6">
        <f t="shared" si="14"/>
        <v>-70098.930000000022</v>
      </c>
    </row>
    <row r="93" spans="1:19" x14ac:dyDescent="0.25">
      <c r="A93" s="3" t="s">
        <v>268</v>
      </c>
      <c r="B93" s="5"/>
      <c r="C93" s="5"/>
      <c r="D93" s="4">
        <f t="shared" si="8"/>
        <v>0</v>
      </c>
      <c r="E93" s="5"/>
      <c r="F93" s="5"/>
      <c r="G93" s="4">
        <f t="shared" si="9"/>
        <v>0</v>
      </c>
      <c r="H93" s="5"/>
      <c r="I93" s="5"/>
      <c r="J93" s="4">
        <f t="shared" si="10"/>
        <v>0</v>
      </c>
      <c r="K93" s="5"/>
      <c r="L93" s="5"/>
      <c r="M93" s="4">
        <f t="shared" si="11"/>
        <v>0</v>
      </c>
      <c r="N93" s="5"/>
      <c r="O93" s="5"/>
      <c r="P93" s="4">
        <f t="shared" si="12"/>
        <v>0</v>
      </c>
      <c r="Q93" s="4">
        <f t="shared" ref="Q93:R124" si="15">((((B93)+(E93))+(H93))+(K93))+(N93)</f>
        <v>0</v>
      </c>
      <c r="R93" s="4">
        <f t="shared" si="15"/>
        <v>0</v>
      </c>
      <c r="S93" s="4">
        <f t="shared" si="14"/>
        <v>0</v>
      </c>
    </row>
    <row r="94" spans="1:19" x14ac:dyDescent="0.25">
      <c r="A94" s="3" t="s">
        <v>269</v>
      </c>
      <c r="B94" s="4">
        <f>341</f>
        <v>341</v>
      </c>
      <c r="C94" s="4">
        <f>595</f>
        <v>595</v>
      </c>
      <c r="D94" s="4">
        <f t="shared" si="8"/>
        <v>-254</v>
      </c>
      <c r="E94" s="4">
        <f>133.5</f>
        <v>133.5</v>
      </c>
      <c r="F94" s="4">
        <f>81</f>
        <v>81</v>
      </c>
      <c r="G94" s="4">
        <f t="shared" si="9"/>
        <v>52.5</v>
      </c>
      <c r="H94" s="5"/>
      <c r="I94" s="4">
        <f>393.07</f>
        <v>393.07</v>
      </c>
      <c r="J94" s="4">
        <f t="shared" si="10"/>
        <v>-393.07</v>
      </c>
      <c r="K94" s="4">
        <f>133.5</f>
        <v>133.5</v>
      </c>
      <c r="L94" s="4">
        <f>514</f>
        <v>514</v>
      </c>
      <c r="M94" s="4">
        <f t="shared" si="11"/>
        <v>-380.5</v>
      </c>
      <c r="N94" s="4">
        <f>843.5</f>
        <v>843.5</v>
      </c>
      <c r="O94" s="4">
        <f>393</f>
        <v>393</v>
      </c>
      <c r="P94" s="4">
        <f t="shared" si="12"/>
        <v>450.5</v>
      </c>
      <c r="Q94" s="4">
        <f t="shared" si="15"/>
        <v>1451.5</v>
      </c>
      <c r="R94" s="4">
        <f t="shared" si="15"/>
        <v>1976.07</v>
      </c>
      <c r="S94" s="4">
        <f t="shared" si="14"/>
        <v>-524.56999999999994</v>
      </c>
    </row>
    <row r="95" spans="1:19" x14ac:dyDescent="0.25">
      <c r="A95" s="3" t="s">
        <v>270</v>
      </c>
      <c r="B95" s="6">
        <f>(B93)+(B94)</f>
        <v>341</v>
      </c>
      <c r="C95" s="6">
        <f>(C93)+(C94)</f>
        <v>595</v>
      </c>
      <c r="D95" s="6">
        <f t="shared" si="8"/>
        <v>-254</v>
      </c>
      <c r="E95" s="6">
        <f>(E93)+(E94)</f>
        <v>133.5</v>
      </c>
      <c r="F95" s="6">
        <f>(F93)+(F94)</f>
        <v>81</v>
      </c>
      <c r="G95" s="6">
        <f t="shared" si="9"/>
        <v>52.5</v>
      </c>
      <c r="H95" s="6">
        <f>(H93)+(H94)</f>
        <v>0</v>
      </c>
      <c r="I95" s="6">
        <f>(I93)+(I94)</f>
        <v>393.07</v>
      </c>
      <c r="J95" s="6">
        <f t="shared" si="10"/>
        <v>-393.07</v>
      </c>
      <c r="K95" s="6">
        <f>(K93)+(K94)</f>
        <v>133.5</v>
      </c>
      <c r="L95" s="6">
        <f>(L93)+(L94)</f>
        <v>514</v>
      </c>
      <c r="M95" s="6">
        <f t="shared" si="11"/>
        <v>-380.5</v>
      </c>
      <c r="N95" s="6">
        <f>(N93)+(N94)</f>
        <v>843.5</v>
      </c>
      <c r="O95" s="6">
        <f>(O93)+(O94)</f>
        <v>393</v>
      </c>
      <c r="P95" s="6">
        <f t="shared" si="12"/>
        <v>450.5</v>
      </c>
      <c r="Q95" s="6">
        <f t="shared" si="15"/>
        <v>1451.5</v>
      </c>
      <c r="R95" s="6">
        <f t="shared" si="15"/>
        <v>1976.07</v>
      </c>
      <c r="S95" s="6">
        <f t="shared" si="14"/>
        <v>-524.56999999999994</v>
      </c>
    </row>
    <row r="96" spans="1:19" x14ac:dyDescent="0.25">
      <c r="A96" s="3" t="s">
        <v>271</v>
      </c>
      <c r="B96" s="6">
        <f>(((B81)+(B84))+(B92))+(B95)</f>
        <v>17205.53</v>
      </c>
      <c r="C96" s="6">
        <f>(((C81)+(C84))+(C92))+(C95)</f>
        <v>33680.46</v>
      </c>
      <c r="D96" s="6">
        <f t="shared" si="8"/>
        <v>-16474.93</v>
      </c>
      <c r="E96" s="6">
        <f>(((E81)+(E84))+(E92))+(E95)</f>
        <v>14058.949999999999</v>
      </c>
      <c r="F96" s="6">
        <f>(((F81)+(F84))+(F92))+(F95)</f>
        <v>26591.02</v>
      </c>
      <c r="G96" s="6">
        <f t="shared" si="9"/>
        <v>-12532.070000000002</v>
      </c>
      <c r="H96" s="6">
        <f>(((H81)+(H84))+(H92))+(H95)</f>
        <v>10563.95</v>
      </c>
      <c r="I96" s="6">
        <f>(((I81)+(I84))+(I92))+(I95)</f>
        <v>28626.44</v>
      </c>
      <c r="J96" s="6">
        <f t="shared" si="10"/>
        <v>-18062.489999999998</v>
      </c>
      <c r="K96" s="6">
        <f>(((K81)+(K84))+(K92))+(K95)</f>
        <v>8989.7300000000014</v>
      </c>
      <c r="L96" s="6">
        <f>(((L81)+(L84))+(L92))+(L95)</f>
        <v>23256.240000000002</v>
      </c>
      <c r="M96" s="6">
        <f t="shared" si="11"/>
        <v>-14266.51</v>
      </c>
      <c r="N96" s="6">
        <f>(((N81)+(N84))+(N92))+(N95)</f>
        <v>12459.25</v>
      </c>
      <c r="O96" s="6">
        <f>(((O81)+(O84))+(O92))+(O95)</f>
        <v>22229.03</v>
      </c>
      <c r="P96" s="6">
        <f t="shared" si="12"/>
        <v>-9769.7799999999988</v>
      </c>
      <c r="Q96" s="6">
        <f t="shared" si="15"/>
        <v>63277.409999999996</v>
      </c>
      <c r="R96" s="6">
        <f t="shared" si="15"/>
        <v>134383.19</v>
      </c>
      <c r="S96" s="6">
        <f t="shared" si="14"/>
        <v>-71105.78</v>
      </c>
    </row>
    <row r="97" spans="1:19" x14ac:dyDescent="0.25">
      <c r="A97" s="3" t="s">
        <v>272</v>
      </c>
      <c r="B97" s="5"/>
      <c r="C97" s="5"/>
      <c r="D97" s="4">
        <f t="shared" si="8"/>
        <v>0</v>
      </c>
      <c r="E97" s="5"/>
      <c r="F97" s="5"/>
      <c r="G97" s="4">
        <f t="shared" si="9"/>
        <v>0</v>
      </c>
      <c r="H97" s="5"/>
      <c r="I97" s="5"/>
      <c r="J97" s="4">
        <f t="shared" si="10"/>
        <v>0</v>
      </c>
      <c r="K97" s="5"/>
      <c r="L97" s="4">
        <f>500</f>
        <v>500</v>
      </c>
      <c r="M97" s="4">
        <f t="shared" si="11"/>
        <v>-500</v>
      </c>
      <c r="N97" s="5"/>
      <c r="O97" s="5"/>
      <c r="P97" s="4">
        <f t="shared" si="12"/>
        <v>0</v>
      </c>
      <c r="Q97" s="4">
        <f t="shared" si="15"/>
        <v>0</v>
      </c>
      <c r="R97" s="4">
        <f t="shared" si="15"/>
        <v>500</v>
      </c>
      <c r="S97" s="4">
        <f t="shared" si="14"/>
        <v>-500</v>
      </c>
    </row>
    <row r="98" spans="1:19" x14ac:dyDescent="0.25">
      <c r="A98" s="3" t="s">
        <v>273</v>
      </c>
      <c r="B98" s="4">
        <f>125</f>
        <v>125</v>
      </c>
      <c r="C98" s="4">
        <f>129.28</f>
        <v>129.28</v>
      </c>
      <c r="D98" s="4">
        <f t="shared" si="8"/>
        <v>-4.2800000000000011</v>
      </c>
      <c r="E98" s="4">
        <f>2400</f>
        <v>2400</v>
      </c>
      <c r="F98" s="4">
        <f>688.83</f>
        <v>688.83</v>
      </c>
      <c r="G98" s="4">
        <f t="shared" si="9"/>
        <v>1711.17</v>
      </c>
      <c r="H98" s="5"/>
      <c r="I98" s="4">
        <f>1834.58</f>
        <v>1834.58</v>
      </c>
      <c r="J98" s="4">
        <f t="shared" si="10"/>
        <v>-1834.58</v>
      </c>
      <c r="K98" s="4">
        <f>20.83</f>
        <v>20.83</v>
      </c>
      <c r="L98" s="4">
        <f>1504.31</f>
        <v>1504.31</v>
      </c>
      <c r="M98" s="4">
        <f t="shared" si="11"/>
        <v>-1483.48</v>
      </c>
      <c r="N98" s="5"/>
      <c r="O98" s="4">
        <f>2201.28</f>
        <v>2201.2800000000002</v>
      </c>
      <c r="P98" s="4">
        <f t="shared" si="12"/>
        <v>-2201.2800000000002</v>
      </c>
      <c r="Q98" s="4">
        <f t="shared" si="15"/>
        <v>2545.83</v>
      </c>
      <c r="R98" s="4">
        <f t="shared" si="15"/>
        <v>6358.2800000000007</v>
      </c>
      <c r="S98" s="4">
        <f t="shared" si="14"/>
        <v>-3812.4500000000007</v>
      </c>
    </row>
    <row r="99" spans="1:19" x14ac:dyDescent="0.25">
      <c r="A99" s="3" t="s">
        <v>274</v>
      </c>
      <c r="B99" s="4">
        <f>975.48</f>
        <v>975.48</v>
      </c>
      <c r="C99" s="4">
        <f>4248</f>
        <v>4248</v>
      </c>
      <c r="D99" s="4">
        <f t="shared" si="8"/>
        <v>-3272.52</v>
      </c>
      <c r="E99" s="4">
        <f>226.48</f>
        <v>226.48</v>
      </c>
      <c r="F99" s="4">
        <f>749</f>
        <v>749</v>
      </c>
      <c r="G99" s="4">
        <f t="shared" si="9"/>
        <v>-522.52</v>
      </c>
      <c r="H99" s="5"/>
      <c r="I99" s="4">
        <f>833.94</f>
        <v>833.94</v>
      </c>
      <c r="J99" s="4">
        <f t="shared" si="10"/>
        <v>-833.94</v>
      </c>
      <c r="K99" s="5"/>
      <c r="L99" s="4">
        <f>25</f>
        <v>25</v>
      </c>
      <c r="M99" s="4">
        <f t="shared" si="11"/>
        <v>-25</v>
      </c>
      <c r="N99" s="5"/>
      <c r="O99" s="4">
        <f>1274</f>
        <v>1274</v>
      </c>
      <c r="P99" s="4">
        <f t="shared" si="12"/>
        <v>-1274</v>
      </c>
      <c r="Q99" s="4">
        <f t="shared" si="15"/>
        <v>1201.96</v>
      </c>
      <c r="R99" s="4">
        <f t="shared" si="15"/>
        <v>7129.9400000000005</v>
      </c>
      <c r="S99" s="4">
        <f t="shared" si="14"/>
        <v>-5927.9800000000005</v>
      </c>
    </row>
    <row r="100" spans="1:19" x14ac:dyDescent="0.25">
      <c r="A100" s="3" t="s">
        <v>275</v>
      </c>
      <c r="B100" s="4">
        <f>325</f>
        <v>325</v>
      </c>
      <c r="C100" s="4">
        <f>324.72</f>
        <v>324.72000000000003</v>
      </c>
      <c r="D100" s="4">
        <f t="shared" si="8"/>
        <v>0.27999999999997272</v>
      </c>
      <c r="E100" s="5"/>
      <c r="F100" s="5"/>
      <c r="G100" s="4">
        <f t="shared" si="9"/>
        <v>0</v>
      </c>
      <c r="H100" s="5"/>
      <c r="I100" s="5"/>
      <c r="J100" s="4">
        <f t="shared" si="10"/>
        <v>0</v>
      </c>
      <c r="K100" s="5"/>
      <c r="L100" s="5"/>
      <c r="M100" s="4">
        <f t="shared" si="11"/>
        <v>0</v>
      </c>
      <c r="N100" s="5"/>
      <c r="O100" s="5"/>
      <c r="P100" s="4">
        <f t="shared" si="12"/>
        <v>0</v>
      </c>
      <c r="Q100" s="4">
        <f t="shared" si="15"/>
        <v>325</v>
      </c>
      <c r="R100" s="4">
        <f t="shared" si="15"/>
        <v>324.72000000000003</v>
      </c>
      <c r="S100" s="4">
        <f t="shared" si="14"/>
        <v>0.27999999999997272</v>
      </c>
    </row>
    <row r="101" spans="1:19" x14ac:dyDescent="0.25">
      <c r="A101" s="3" t="s">
        <v>276</v>
      </c>
      <c r="B101" s="6">
        <f>(((B97)+(B98))+(B99))+(B100)</f>
        <v>1425.48</v>
      </c>
      <c r="C101" s="6">
        <f>(((C97)+(C98))+(C99))+(C100)</f>
        <v>4702</v>
      </c>
      <c r="D101" s="6">
        <f t="shared" si="8"/>
        <v>-3276.52</v>
      </c>
      <c r="E101" s="6">
        <f>(((E97)+(E98))+(E99))+(E100)</f>
        <v>2626.48</v>
      </c>
      <c r="F101" s="6">
        <f>(((F97)+(F98))+(F99))+(F100)</f>
        <v>1437.83</v>
      </c>
      <c r="G101" s="6">
        <f t="shared" si="9"/>
        <v>1188.6500000000001</v>
      </c>
      <c r="H101" s="6">
        <f>(((H97)+(H98))+(H99))+(H100)</f>
        <v>0</v>
      </c>
      <c r="I101" s="6">
        <f>(((I97)+(I98))+(I99))+(I100)</f>
        <v>2668.52</v>
      </c>
      <c r="J101" s="6">
        <f t="shared" si="10"/>
        <v>-2668.52</v>
      </c>
      <c r="K101" s="6">
        <f>(((K97)+(K98))+(K99))+(K100)</f>
        <v>20.83</v>
      </c>
      <c r="L101" s="6">
        <f>(((L97)+(L98))+(L99))+(L100)</f>
        <v>2029.31</v>
      </c>
      <c r="M101" s="6">
        <f t="shared" si="11"/>
        <v>-2008.48</v>
      </c>
      <c r="N101" s="6">
        <f>(((N97)+(N98))+(N99))+(N100)</f>
        <v>0</v>
      </c>
      <c r="O101" s="6">
        <f>(((O97)+(O98))+(O99))+(O100)</f>
        <v>3475.28</v>
      </c>
      <c r="P101" s="6">
        <f t="shared" si="12"/>
        <v>-3475.28</v>
      </c>
      <c r="Q101" s="6">
        <f t="shared" si="15"/>
        <v>4072.79</v>
      </c>
      <c r="R101" s="6">
        <f t="shared" si="15"/>
        <v>14312.94</v>
      </c>
      <c r="S101" s="6">
        <f t="shared" si="14"/>
        <v>-10240.150000000001</v>
      </c>
    </row>
    <row r="102" spans="1:19" x14ac:dyDescent="0.25">
      <c r="A102" s="3" t="s">
        <v>277</v>
      </c>
      <c r="B102" s="5"/>
      <c r="C102" s="5"/>
      <c r="D102" s="4">
        <f t="shared" si="8"/>
        <v>0</v>
      </c>
      <c r="E102" s="5"/>
      <c r="F102" s="5"/>
      <c r="G102" s="4">
        <f t="shared" si="9"/>
        <v>0</v>
      </c>
      <c r="H102" s="5"/>
      <c r="I102" s="5"/>
      <c r="J102" s="4">
        <f t="shared" si="10"/>
        <v>0</v>
      </c>
      <c r="K102" s="5"/>
      <c r="L102" s="5"/>
      <c r="M102" s="4">
        <f t="shared" si="11"/>
        <v>0</v>
      </c>
      <c r="N102" s="5"/>
      <c r="O102" s="5"/>
      <c r="P102" s="4">
        <f t="shared" si="12"/>
        <v>0</v>
      </c>
      <c r="Q102" s="4">
        <f t="shared" si="15"/>
        <v>0</v>
      </c>
      <c r="R102" s="4">
        <f t="shared" si="15"/>
        <v>0</v>
      </c>
      <c r="S102" s="4">
        <f t="shared" si="14"/>
        <v>0</v>
      </c>
    </row>
    <row r="103" spans="1:19" x14ac:dyDescent="0.25">
      <c r="A103" s="3" t="s">
        <v>278</v>
      </c>
      <c r="B103" s="5"/>
      <c r="C103" s="5"/>
      <c r="D103" s="4">
        <f t="shared" si="8"/>
        <v>0</v>
      </c>
      <c r="E103" s="5"/>
      <c r="F103" s="5"/>
      <c r="G103" s="4">
        <f t="shared" si="9"/>
        <v>0</v>
      </c>
      <c r="H103" s="5"/>
      <c r="I103" s="5"/>
      <c r="J103" s="4">
        <f t="shared" si="10"/>
        <v>0</v>
      </c>
      <c r="K103" s="5"/>
      <c r="L103" s="5"/>
      <c r="M103" s="4">
        <f t="shared" si="11"/>
        <v>0</v>
      </c>
      <c r="N103" s="5"/>
      <c r="O103" s="5"/>
      <c r="P103" s="4">
        <f t="shared" si="12"/>
        <v>0</v>
      </c>
      <c r="Q103" s="4">
        <f t="shared" si="15"/>
        <v>0</v>
      </c>
      <c r="R103" s="4">
        <f t="shared" si="15"/>
        <v>0</v>
      </c>
      <c r="S103" s="4">
        <f t="shared" si="14"/>
        <v>0</v>
      </c>
    </row>
    <row r="104" spans="1:19" x14ac:dyDescent="0.25">
      <c r="A104" s="3" t="s">
        <v>279</v>
      </c>
      <c r="B104" s="4">
        <f>11822.17</f>
        <v>11822.17</v>
      </c>
      <c r="C104" s="4">
        <f>6799.45</f>
        <v>6799.45</v>
      </c>
      <c r="D104" s="4">
        <f t="shared" si="8"/>
        <v>5022.72</v>
      </c>
      <c r="E104" s="4">
        <f>5714.71</f>
        <v>5714.71</v>
      </c>
      <c r="F104" s="4">
        <f>32535.45</f>
        <v>32535.45</v>
      </c>
      <c r="G104" s="4">
        <f t="shared" si="9"/>
        <v>-26820.74</v>
      </c>
      <c r="H104" s="4">
        <f>4528.38</f>
        <v>4528.38</v>
      </c>
      <c r="I104" s="4">
        <f>-21562.63</f>
        <v>-21562.63</v>
      </c>
      <c r="J104" s="4">
        <f t="shared" si="10"/>
        <v>26091.010000000002</v>
      </c>
      <c r="K104" s="4">
        <f>3186.87</f>
        <v>3186.87</v>
      </c>
      <c r="L104" s="4">
        <f>3495.53</f>
        <v>3495.53</v>
      </c>
      <c r="M104" s="4">
        <f t="shared" si="11"/>
        <v>-308.66000000000031</v>
      </c>
      <c r="N104" s="4">
        <f>3075.79</f>
        <v>3075.79</v>
      </c>
      <c r="O104" s="4">
        <f>3195.29</f>
        <v>3195.29</v>
      </c>
      <c r="P104" s="4">
        <f t="shared" si="12"/>
        <v>-119.5</v>
      </c>
      <c r="Q104" s="4">
        <f t="shared" si="15"/>
        <v>28327.920000000002</v>
      </c>
      <c r="R104" s="4">
        <f t="shared" si="15"/>
        <v>24463.09</v>
      </c>
      <c r="S104" s="4">
        <f t="shared" si="14"/>
        <v>3864.8300000000017</v>
      </c>
    </row>
    <row r="105" spans="1:19" x14ac:dyDescent="0.25">
      <c r="A105" s="3" t="s">
        <v>280</v>
      </c>
      <c r="B105" s="4">
        <f>2750</f>
        <v>2750</v>
      </c>
      <c r="C105" s="4">
        <f>2732.72</f>
        <v>2732.72</v>
      </c>
      <c r="D105" s="4">
        <f t="shared" si="8"/>
        <v>17.2800000000002</v>
      </c>
      <c r="E105" s="5"/>
      <c r="F105" s="5"/>
      <c r="G105" s="4">
        <f t="shared" si="9"/>
        <v>0</v>
      </c>
      <c r="H105" s="4">
        <f>1003.89</f>
        <v>1003.89</v>
      </c>
      <c r="I105" s="5"/>
      <c r="J105" s="4">
        <f t="shared" si="10"/>
        <v>1003.89</v>
      </c>
      <c r="K105" s="5"/>
      <c r="L105" s="4">
        <f>2406.94</f>
        <v>2406.94</v>
      </c>
      <c r="M105" s="4">
        <f t="shared" si="11"/>
        <v>-2406.94</v>
      </c>
      <c r="N105" s="4">
        <f>21.94</f>
        <v>21.94</v>
      </c>
      <c r="O105" s="4">
        <f>550</f>
        <v>550</v>
      </c>
      <c r="P105" s="4">
        <f t="shared" si="12"/>
        <v>-528.05999999999995</v>
      </c>
      <c r="Q105" s="4">
        <f t="shared" si="15"/>
        <v>3775.83</v>
      </c>
      <c r="R105" s="4">
        <f t="shared" si="15"/>
        <v>5689.66</v>
      </c>
      <c r="S105" s="4">
        <f t="shared" si="14"/>
        <v>-1913.83</v>
      </c>
    </row>
    <row r="106" spans="1:19" x14ac:dyDescent="0.25">
      <c r="A106" s="3" t="s">
        <v>281</v>
      </c>
      <c r="B106" s="5"/>
      <c r="C106" s="4">
        <f>935.78</f>
        <v>935.78</v>
      </c>
      <c r="D106" s="4">
        <f t="shared" si="8"/>
        <v>-935.78</v>
      </c>
      <c r="E106" s="4">
        <f>824.16</f>
        <v>824.16</v>
      </c>
      <c r="F106" s="4">
        <f>-736.92</f>
        <v>-736.92</v>
      </c>
      <c r="G106" s="4">
        <f t="shared" si="9"/>
        <v>1561.08</v>
      </c>
      <c r="H106" s="5"/>
      <c r="I106" s="4">
        <f>1422.91</f>
        <v>1422.91</v>
      </c>
      <c r="J106" s="4">
        <f t="shared" si="10"/>
        <v>-1422.91</v>
      </c>
      <c r="K106" s="4">
        <f>39.95</f>
        <v>39.950000000000003</v>
      </c>
      <c r="L106" s="4">
        <f>170.5</f>
        <v>170.5</v>
      </c>
      <c r="M106" s="4">
        <f t="shared" si="11"/>
        <v>-130.55000000000001</v>
      </c>
      <c r="N106" s="5"/>
      <c r="O106" s="4">
        <f>340.08</f>
        <v>340.08</v>
      </c>
      <c r="P106" s="4">
        <f t="shared" si="12"/>
        <v>-340.08</v>
      </c>
      <c r="Q106" s="4">
        <f t="shared" si="15"/>
        <v>864.11</v>
      </c>
      <c r="R106" s="4">
        <f t="shared" si="15"/>
        <v>2132.35</v>
      </c>
      <c r="S106" s="4">
        <f t="shared" si="14"/>
        <v>-1268.2399999999998</v>
      </c>
    </row>
    <row r="107" spans="1:19" x14ac:dyDescent="0.25">
      <c r="A107" s="3" t="s">
        <v>282</v>
      </c>
      <c r="B107" s="4">
        <f>200</f>
        <v>200</v>
      </c>
      <c r="C107" s="4">
        <f>3245.24</f>
        <v>3245.24</v>
      </c>
      <c r="D107" s="4">
        <f t="shared" si="8"/>
        <v>-3045.24</v>
      </c>
      <c r="E107" s="4">
        <f>425.86</f>
        <v>425.86</v>
      </c>
      <c r="F107" s="4">
        <f>1796.92</f>
        <v>1796.92</v>
      </c>
      <c r="G107" s="4">
        <f t="shared" si="9"/>
        <v>-1371.06</v>
      </c>
      <c r="H107" s="4">
        <f>1640.91</f>
        <v>1640.91</v>
      </c>
      <c r="I107" s="4">
        <f>3943.04</f>
        <v>3943.04</v>
      </c>
      <c r="J107" s="4">
        <f t="shared" si="10"/>
        <v>-2302.13</v>
      </c>
      <c r="K107" s="4">
        <f>3368.15</f>
        <v>3368.15</v>
      </c>
      <c r="L107" s="4">
        <f>5730.54</f>
        <v>5730.54</v>
      </c>
      <c r="M107" s="4">
        <f t="shared" si="11"/>
        <v>-2362.39</v>
      </c>
      <c r="N107" s="4">
        <f>1337.21</f>
        <v>1337.21</v>
      </c>
      <c r="O107" s="4">
        <f>8694.32</f>
        <v>8694.32</v>
      </c>
      <c r="P107" s="4">
        <f t="shared" si="12"/>
        <v>-7357.11</v>
      </c>
      <c r="Q107" s="4">
        <f t="shared" si="15"/>
        <v>6972.13</v>
      </c>
      <c r="R107" s="4">
        <f t="shared" si="15"/>
        <v>23410.06</v>
      </c>
      <c r="S107" s="4">
        <f t="shared" si="14"/>
        <v>-16437.93</v>
      </c>
    </row>
    <row r="108" spans="1:19" x14ac:dyDescent="0.25">
      <c r="A108" s="3" t="s">
        <v>357</v>
      </c>
      <c r="B108" s="5"/>
      <c r="C108" s="5"/>
      <c r="D108" s="4">
        <f t="shared" si="8"/>
        <v>0</v>
      </c>
      <c r="E108" s="5"/>
      <c r="F108" s="5"/>
      <c r="G108" s="4">
        <f t="shared" si="9"/>
        <v>0</v>
      </c>
      <c r="H108" s="5"/>
      <c r="I108" s="4">
        <f>-10</f>
        <v>-10</v>
      </c>
      <c r="J108" s="4">
        <f t="shared" si="10"/>
        <v>10</v>
      </c>
      <c r="K108" s="5"/>
      <c r="L108" s="5"/>
      <c r="M108" s="4">
        <f t="shared" si="11"/>
        <v>0</v>
      </c>
      <c r="N108" s="5"/>
      <c r="O108" s="5"/>
      <c r="P108" s="4">
        <f t="shared" si="12"/>
        <v>0</v>
      </c>
      <c r="Q108" s="4">
        <f t="shared" si="15"/>
        <v>0</v>
      </c>
      <c r="R108" s="4">
        <f t="shared" si="15"/>
        <v>-10</v>
      </c>
      <c r="S108" s="4">
        <f t="shared" si="14"/>
        <v>10</v>
      </c>
    </row>
    <row r="109" spans="1:19" x14ac:dyDescent="0.25">
      <c r="A109" s="3" t="s">
        <v>283</v>
      </c>
      <c r="B109" s="4">
        <f>150</f>
        <v>150</v>
      </c>
      <c r="C109" s="5"/>
      <c r="D109" s="4">
        <f t="shared" si="8"/>
        <v>150</v>
      </c>
      <c r="E109" s="5"/>
      <c r="F109" s="5"/>
      <c r="G109" s="4">
        <f t="shared" si="9"/>
        <v>0</v>
      </c>
      <c r="H109" s="5"/>
      <c r="I109" s="5"/>
      <c r="J109" s="4">
        <f t="shared" si="10"/>
        <v>0</v>
      </c>
      <c r="K109" s="5"/>
      <c r="L109" s="5"/>
      <c r="M109" s="4">
        <f t="shared" si="11"/>
        <v>0</v>
      </c>
      <c r="N109" s="5"/>
      <c r="O109" s="5"/>
      <c r="P109" s="4">
        <f t="shared" si="12"/>
        <v>0</v>
      </c>
      <c r="Q109" s="4">
        <f t="shared" si="15"/>
        <v>150</v>
      </c>
      <c r="R109" s="4">
        <f t="shared" si="15"/>
        <v>0</v>
      </c>
      <c r="S109" s="4">
        <f t="shared" si="14"/>
        <v>150</v>
      </c>
    </row>
    <row r="110" spans="1:19" x14ac:dyDescent="0.25">
      <c r="A110" s="3" t="s">
        <v>284</v>
      </c>
      <c r="B110" s="4">
        <f>0</f>
        <v>0</v>
      </c>
      <c r="C110" s="5"/>
      <c r="D110" s="4">
        <f t="shared" si="8"/>
        <v>0</v>
      </c>
      <c r="E110" s="5"/>
      <c r="F110" s="5"/>
      <c r="G110" s="4">
        <f t="shared" si="9"/>
        <v>0</v>
      </c>
      <c r="H110" s="5"/>
      <c r="I110" s="5"/>
      <c r="J110" s="4">
        <f t="shared" si="10"/>
        <v>0</v>
      </c>
      <c r="K110" s="5"/>
      <c r="L110" s="5"/>
      <c r="M110" s="4">
        <f t="shared" si="11"/>
        <v>0</v>
      </c>
      <c r="N110" s="5"/>
      <c r="O110" s="5"/>
      <c r="P110" s="4">
        <f t="shared" si="12"/>
        <v>0</v>
      </c>
      <c r="Q110" s="4">
        <f t="shared" si="15"/>
        <v>0</v>
      </c>
      <c r="R110" s="4">
        <f t="shared" si="15"/>
        <v>0</v>
      </c>
      <c r="S110" s="4">
        <f t="shared" si="14"/>
        <v>0</v>
      </c>
    </row>
    <row r="111" spans="1:19" x14ac:dyDescent="0.25">
      <c r="A111" s="3" t="s">
        <v>285</v>
      </c>
      <c r="B111" s="5"/>
      <c r="C111" s="4">
        <f>3440.85</f>
        <v>3440.85</v>
      </c>
      <c r="D111" s="4">
        <f t="shared" si="8"/>
        <v>-3440.85</v>
      </c>
      <c r="E111" s="5"/>
      <c r="F111" s="5"/>
      <c r="G111" s="4">
        <f t="shared" si="9"/>
        <v>0</v>
      </c>
      <c r="H111" s="5"/>
      <c r="I111" s="5"/>
      <c r="J111" s="4">
        <f t="shared" si="10"/>
        <v>0</v>
      </c>
      <c r="K111" s="4">
        <f>700</f>
        <v>700</v>
      </c>
      <c r="L111" s="4">
        <f>954</f>
        <v>954</v>
      </c>
      <c r="M111" s="4">
        <f t="shared" si="11"/>
        <v>-254</v>
      </c>
      <c r="N111" s="5"/>
      <c r="O111" s="5"/>
      <c r="P111" s="4">
        <f t="shared" si="12"/>
        <v>0</v>
      </c>
      <c r="Q111" s="4">
        <f t="shared" si="15"/>
        <v>700</v>
      </c>
      <c r="R111" s="4">
        <f t="shared" si="15"/>
        <v>4394.8500000000004</v>
      </c>
      <c r="S111" s="4">
        <f t="shared" si="14"/>
        <v>-3694.8500000000004</v>
      </c>
    </row>
    <row r="112" spans="1:19" x14ac:dyDescent="0.25">
      <c r="A112" s="3" t="s">
        <v>358</v>
      </c>
      <c r="B112" s="5"/>
      <c r="C112" s="5"/>
      <c r="D112" s="4">
        <f t="shared" si="8"/>
        <v>0</v>
      </c>
      <c r="E112" s="5"/>
      <c r="F112" s="5"/>
      <c r="G112" s="4">
        <f t="shared" si="9"/>
        <v>0</v>
      </c>
      <c r="H112" s="5"/>
      <c r="I112" s="5"/>
      <c r="J112" s="4">
        <f t="shared" si="10"/>
        <v>0</v>
      </c>
      <c r="K112" s="5"/>
      <c r="L112" s="4">
        <f>281.07</f>
        <v>281.07</v>
      </c>
      <c r="M112" s="4">
        <f t="shared" si="11"/>
        <v>-281.07</v>
      </c>
      <c r="N112" s="5"/>
      <c r="O112" s="5"/>
      <c r="P112" s="4">
        <f t="shared" si="12"/>
        <v>0</v>
      </c>
      <c r="Q112" s="4">
        <f t="shared" si="15"/>
        <v>0</v>
      </c>
      <c r="R112" s="4">
        <f t="shared" si="15"/>
        <v>281.07</v>
      </c>
      <c r="S112" s="4">
        <f t="shared" si="14"/>
        <v>-281.07</v>
      </c>
    </row>
    <row r="113" spans="1:19" x14ac:dyDescent="0.25">
      <c r="A113" s="3" t="s">
        <v>286</v>
      </c>
      <c r="B113" s="5"/>
      <c r="C113" s="4">
        <f>159.98</f>
        <v>159.97999999999999</v>
      </c>
      <c r="D113" s="4">
        <f t="shared" si="8"/>
        <v>-159.97999999999999</v>
      </c>
      <c r="E113" s="5"/>
      <c r="F113" s="5"/>
      <c r="G113" s="4">
        <f t="shared" si="9"/>
        <v>0</v>
      </c>
      <c r="H113" s="5"/>
      <c r="I113" s="5"/>
      <c r="J113" s="4">
        <f t="shared" si="10"/>
        <v>0</v>
      </c>
      <c r="K113" s="4">
        <f>765</f>
        <v>765</v>
      </c>
      <c r="L113" s="5"/>
      <c r="M113" s="4">
        <f t="shared" si="11"/>
        <v>765</v>
      </c>
      <c r="N113" s="5"/>
      <c r="O113" s="5"/>
      <c r="P113" s="4">
        <f t="shared" si="12"/>
        <v>0</v>
      </c>
      <c r="Q113" s="4">
        <f t="shared" si="15"/>
        <v>765</v>
      </c>
      <c r="R113" s="4">
        <f t="shared" si="15"/>
        <v>159.97999999999999</v>
      </c>
      <c r="S113" s="4">
        <f t="shared" si="14"/>
        <v>605.02</v>
      </c>
    </row>
    <row r="114" spans="1:19" x14ac:dyDescent="0.25">
      <c r="A114" s="3" t="s">
        <v>359</v>
      </c>
      <c r="B114" s="5"/>
      <c r="C114" s="4">
        <f>49.99</f>
        <v>49.99</v>
      </c>
      <c r="D114" s="4">
        <f t="shared" si="8"/>
        <v>-49.99</v>
      </c>
      <c r="E114" s="5"/>
      <c r="F114" s="4">
        <f>69.98</f>
        <v>69.98</v>
      </c>
      <c r="G114" s="4">
        <f t="shared" si="9"/>
        <v>-69.98</v>
      </c>
      <c r="H114" s="5"/>
      <c r="I114" s="5"/>
      <c r="J114" s="4">
        <f t="shared" si="10"/>
        <v>0</v>
      </c>
      <c r="K114" s="5"/>
      <c r="L114" s="5"/>
      <c r="M114" s="4">
        <f t="shared" si="11"/>
        <v>0</v>
      </c>
      <c r="N114" s="5"/>
      <c r="O114" s="5"/>
      <c r="P114" s="4">
        <f t="shared" si="12"/>
        <v>0</v>
      </c>
      <c r="Q114" s="4">
        <f t="shared" si="15"/>
        <v>0</v>
      </c>
      <c r="R114" s="4">
        <f t="shared" si="15"/>
        <v>119.97</v>
      </c>
      <c r="S114" s="4">
        <f t="shared" si="14"/>
        <v>-119.97</v>
      </c>
    </row>
    <row r="115" spans="1:19" x14ac:dyDescent="0.25">
      <c r="A115" s="3" t="s">
        <v>287</v>
      </c>
      <c r="B115" s="5"/>
      <c r="C115" s="4">
        <f>11951.53</f>
        <v>11951.53</v>
      </c>
      <c r="D115" s="4">
        <f t="shared" si="8"/>
        <v>-11951.53</v>
      </c>
      <c r="E115" s="5"/>
      <c r="F115" s="4">
        <f>6278.28</f>
        <v>6278.28</v>
      </c>
      <c r="G115" s="4">
        <f t="shared" si="9"/>
        <v>-6278.28</v>
      </c>
      <c r="H115" s="4">
        <f>198.19</f>
        <v>198.19</v>
      </c>
      <c r="I115" s="4">
        <f>8912.53</f>
        <v>8912.5300000000007</v>
      </c>
      <c r="J115" s="4">
        <f t="shared" si="10"/>
        <v>-8714.34</v>
      </c>
      <c r="K115" s="4">
        <f>-212.5</f>
        <v>-212.5</v>
      </c>
      <c r="L115" s="4">
        <f>5070.66</f>
        <v>5070.66</v>
      </c>
      <c r="M115" s="4">
        <f t="shared" si="11"/>
        <v>-5283.16</v>
      </c>
      <c r="N115" s="4">
        <f>26.25</f>
        <v>26.25</v>
      </c>
      <c r="O115" s="4">
        <f>5840.78</f>
        <v>5840.78</v>
      </c>
      <c r="P115" s="4">
        <f t="shared" si="12"/>
        <v>-5814.53</v>
      </c>
      <c r="Q115" s="4">
        <f t="shared" si="15"/>
        <v>11.939999999999998</v>
      </c>
      <c r="R115" s="4">
        <f t="shared" si="15"/>
        <v>38053.780000000006</v>
      </c>
      <c r="S115" s="4">
        <f t="shared" si="14"/>
        <v>-38041.840000000004</v>
      </c>
    </row>
    <row r="116" spans="1:19" x14ac:dyDescent="0.25">
      <c r="A116" s="3" t="s">
        <v>288</v>
      </c>
      <c r="B116" s="6">
        <f>((((((((((((B103)+(B104))+(B105))+(B106))+(B107))+(B108))+(B109))+(B110))+(B111))+(B112))+(B113))+(B114))+(B115)</f>
        <v>14922.17</v>
      </c>
      <c r="C116" s="6">
        <f>((((((((((((C103)+(C104))+(C105))+(C106))+(C107))+(C108))+(C109))+(C110))+(C111))+(C112))+(C113))+(C114))+(C115)</f>
        <v>29315.54</v>
      </c>
      <c r="D116" s="6">
        <f t="shared" si="8"/>
        <v>-14393.37</v>
      </c>
      <c r="E116" s="6">
        <f>((((((((((((E103)+(E104))+(E105))+(E106))+(E107))+(E108))+(E109))+(E110))+(E111))+(E112))+(E113))+(E114))+(E115)</f>
        <v>6964.73</v>
      </c>
      <c r="F116" s="6">
        <f>((((((((((((F103)+(F104))+(F105))+(F106))+(F107))+(F108))+(F109))+(F110))+(F111))+(F112))+(F113))+(F114))+(F115)</f>
        <v>39943.710000000006</v>
      </c>
      <c r="G116" s="6">
        <f t="shared" si="9"/>
        <v>-32978.98000000001</v>
      </c>
      <c r="H116" s="6">
        <f>((((((((((((H103)+(H104))+(H105))+(H106))+(H107))+(H108))+(H109))+(H110))+(H111))+(H112))+(H113))+(H114))+(H115)</f>
        <v>7371.37</v>
      </c>
      <c r="I116" s="6">
        <f>((((((((((((I103)+(I104))+(I105))+(I106))+(I107))+(I108))+(I109))+(I110))+(I111))+(I112))+(I113))+(I114))+(I115)</f>
        <v>-7294.15</v>
      </c>
      <c r="J116" s="6">
        <f t="shared" si="10"/>
        <v>14665.52</v>
      </c>
      <c r="K116" s="6">
        <f>((((((((((((K103)+(K104))+(K105))+(K106))+(K107))+(K108))+(K109))+(K110))+(K111))+(K112))+(K113))+(K114))+(K115)</f>
        <v>7847.4699999999993</v>
      </c>
      <c r="L116" s="6">
        <f>((((((((((((L103)+(L104))+(L105))+(L106))+(L107))+(L108))+(L109))+(L110))+(L111))+(L112))+(L113))+(L114))+(L115)</f>
        <v>18109.239999999998</v>
      </c>
      <c r="M116" s="6">
        <f t="shared" si="11"/>
        <v>-10261.769999999999</v>
      </c>
      <c r="N116" s="6">
        <f>((((((((((((N103)+(N104))+(N105))+(N106))+(N107))+(N108))+(N109))+(N110))+(N111))+(N112))+(N113))+(N114))+(N115)</f>
        <v>4461.1900000000005</v>
      </c>
      <c r="O116" s="6">
        <f>((((((((((((O103)+(O104))+(O105))+(O106))+(O107))+(O108))+(O109))+(O110))+(O111))+(O112))+(O113))+(O114))+(O115)</f>
        <v>18620.469999999998</v>
      </c>
      <c r="P116" s="6">
        <f t="shared" si="12"/>
        <v>-14159.279999999997</v>
      </c>
      <c r="Q116" s="6">
        <f t="shared" si="15"/>
        <v>41566.93</v>
      </c>
      <c r="R116" s="6">
        <f t="shared" si="15"/>
        <v>98694.81</v>
      </c>
      <c r="S116" s="6">
        <f t="shared" si="14"/>
        <v>-57127.88</v>
      </c>
    </row>
    <row r="117" spans="1:19" x14ac:dyDescent="0.25">
      <c r="A117" s="3" t="s">
        <v>289</v>
      </c>
      <c r="B117" s="5"/>
      <c r="C117" s="5"/>
      <c r="D117" s="4">
        <f t="shared" si="8"/>
        <v>0</v>
      </c>
      <c r="E117" s="5"/>
      <c r="F117" s="5"/>
      <c r="G117" s="4">
        <f t="shared" si="9"/>
        <v>0</v>
      </c>
      <c r="H117" s="5"/>
      <c r="I117" s="5"/>
      <c r="J117" s="4">
        <f t="shared" si="10"/>
        <v>0</v>
      </c>
      <c r="K117" s="5"/>
      <c r="L117" s="5"/>
      <c r="M117" s="4">
        <f t="shared" si="11"/>
        <v>0</v>
      </c>
      <c r="N117" s="5"/>
      <c r="O117" s="5"/>
      <c r="P117" s="4">
        <f t="shared" si="12"/>
        <v>0</v>
      </c>
      <c r="Q117" s="4">
        <f t="shared" si="15"/>
        <v>0</v>
      </c>
      <c r="R117" s="4">
        <f t="shared" si="15"/>
        <v>0</v>
      </c>
      <c r="S117" s="4">
        <f t="shared" si="14"/>
        <v>0</v>
      </c>
    </row>
    <row r="118" spans="1:19" x14ac:dyDescent="0.25">
      <c r="A118" s="3" t="s">
        <v>290</v>
      </c>
      <c r="B118" s="4">
        <f>4106.2</f>
        <v>4106.2</v>
      </c>
      <c r="C118" s="4">
        <f>3128.07</f>
        <v>3128.07</v>
      </c>
      <c r="D118" s="4">
        <f t="shared" si="8"/>
        <v>978.12999999999965</v>
      </c>
      <c r="E118" s="4">
        <f>4099.08</f>
        <v>4099.08</v>
      </c>
      <c r="F118" s="4">
        <f>1465.48</f>
        <v>1465.48</v>
      </c>
      <c r="G118" s="4">
        <f t="shared" si="9"/>
        <v>2633.6</v>
      </c>
      <c r="H118" s="4">
        <f>791.14</f>
        <v>791.14</v>
      </c>
      <c r="I118" s="4">
        <f>1554.57</f>
        <v>1554.57</v>
      </c>
      <c r="J118" s="4">
        <f t="shared" si="10"/>
        <v>-763.43</v>
      </c>
      <c r="K118" s="4">
        <f>788.73</f>
        <v>788.73</v>
      </c>
      <c r="L118" s="4">
        <f>1205.87</f>
        <v>1205.8699999999999</v>
      </c>
      <c r="M118" s="4">
        <f t="shared" si="11"/>
        <v>-417.13999999999987</v>
      </c>
      <c r="N118" s="4">
        <f>854.21</f>
        <v>854.21</v>
      </c>
      <c r="O118" s="4">
        <f>1920.4</f>
        <v>1920.4</v>
      </c>
      <c r="P118" s="4">
        <f t="shared" si="12"/>
        <v>-1066.19</v>
      </c>
      <c r="Q118" s="4">
        <f t="shared" si="15"/>
        <v>10639.359999999997</v>
      </c>
      <c r="R118" s="4">
        <f t="shared" si="15"/>
        <v>9274.39</v>
      </c>
      <c r="S118" s="4">
        <f t="shared" si="14"/>
        <v>1364.9699999999975</v>
      </c>
    </row>
    <row r="119" spans="1:19" x14ac:dyDescent="0.25">
      <c r="A119" s="3" t="s">
        <v>360</v>
      </c>
      <c r="B119" s="5"/>
      <c r="C119" s="4">
        <f>1200</f>
        <v>1200</v>
      </c>
      <c r="D119" s="4">
        <f t="shared" si="8"/>
        <v>-1200</v>
      </c>
      <c r="E119" s="5"/>
      <c r="F119" s="5"/>
      <c r="G119" s="4">
        <f t="shared" si="9"/>
        <v>0</v>
      </c>
      <c r="H119" s="5"/>
      <c r="I119" s="5"/>
      <c r="J119" s="4">
        <f t="shared" si="10"/>
        <v>0</v>
      </c>
      <c r="K119" s="5"/>
      <c r="L119" s="5"/>
      <c r="M119" s="4">
        <f t="shared" si="11"/>
        <v>0</v>
      </c>
      <c r="N119" s="5"/>
      <c r="O119" s="5"/>
      <c r="P119" s="4">
        <f t="shared" si="12"/>
        <v>0</v>
      </c>
      <c r="Q119" s="4">
        <f t="shared" si="15"/>
        <v>0</v>
      </c>
      <c r="R119" s="4">
        <f t="shared" si="15"/>
        <v>1200</v>
      </c>
      <c r="S119" s="4">
        <f t="shared" si="14"/>
        <v>-1200</v>
      </c>
    </row>
    <row r="120" spans="1:19" x14ac:dyDescent="0.25">
      <c r="A120" s="3" t="s">
        <v>291</v>
      </c>
      <c r="B120" s="4">
        <f>950</f>
        <v>950</v>
      </c>
      <c r="C120" s="4">
        <f>10000</f>
        <v>10000</v>
      </c>
      <c r="D120" s="4">
        <f t="shared" si="8"/>
        <v>-9050</v>
      </c>
      <c r="E120" s="4">
        <f>2625.12</f>
        <v>2625.12</v>
      </c>
      <c r="F120" s="4">
        <f>11099</f>
        <v>11099</v>
      </c>
      <c r="G120" s="4">
        <f t="shared" si="9"/>
        <v>-8473.880000000001</v>
      </c>
      <c r="H120" s="4">
        <f>392.14</f>
        <v>392.14</v>
      </c>
      <c r="I120" s="4">
        <f>-13118.9</f>
        <v>-13118.9</v>
      </c>
      <c r="J120" s="4">
        <f t="shared" si="10"/>
        <v>13511.039999999999</v>
      </c>
      <c r="K120" s="4">
        <f>1399.4</f>
        <v>1399.4</v>
      </c>
      <c r="L120" s="4">
        <f>3640.89</f>
        <v>3640.89</v>
      </c>
      <c r="M120" s="4">
        <f t="shared" si="11"/>
        <v>-2241.4899999999998</v>
      </c>
      <c r="N120" s="4">
        <f>1442.35</f>
        <v>1442.35</v>
      </c>
      <c r="O120" s="4">
        <f>2273.38</f>
        <v>2273.38</v>
      </c>
      <c r="P120" s="4">
        <f t="shared" si="12"/>
        <v>-831.0300000000002</v>
      </c>
      <c r="Q120" s="4">
        <f t="shared" si="15"/>
        <v>6809.01</v>
      </c>
      <c r="R120" s="4">
        <f t="shared" si="15"/>
        <v>13894.369999999999</v>
      </c>
      <c r="S120" s="4">
        <f t="shared" si="14"/>
        <v>-7085.3599999999988</v>
      </c>
    </row>
    <row r="121" spans="1:19" x14ac:dyDescent="0.25">
      <c r="A121" s="3" t="s">
        <v>292</v>
      </c>
      <c r="B121" s="6">
        <f>(((B117)+(B118))+(B119))+(B120)</f>
        <v>5056.2</v>
      </c>
      <c r="C121" s="6">
        <f>(((C117)+(C118))+(C119))+(C120)</f>
        <v>14328.07</v>
      </c>
      <c r="D121" s="6">
        <f t="shared" si="8"/>
        <v>-9271.869999999999</v>
      </c>
      <c r="E121" s="6">
        <f>(((E117)+(E118))+(E119))+(E120)</f>
        <v>6724.2</v>
      </c>
      <c r="F121" s="6">
        <f>(((F117)+(F118))+(F119))+(F120)</f>
        <v>12564.48</v>
      </c>
      <c r="G121" s="6">
        <f t="shared" si="9"/>
        <v>-5840.28</v>
      </c>
      <c r="H121" s="6">
        <f>(((H117)+(H118))+(H119))+(H120)</f>
        <v>1183.28</v>
      </c>
      <c r="I121" s="6">
        <f>(((I117)+(I118))+(I119))+(I120)</f>
        <v>-11564.33</v>
      </c>
      <c r="J121" s="6">
        <f t="shared" si="10"/>
        <v>12747.61</v>
      </c>
      <c r="K121" s="6">
        <f>(((K117)+(K118))+(K119))+(K120)</f>
        <v>2188.13</v>
      </c>
      <c r="L121" s="6">
        <f>(((L117)+(L118))+(L119))+(L120)</f>
        <v>4846.76</v>
      </c>
      <c r="M121" s="6">
        <f t="shared" si="11"/>
        <v>-2658.63</v>
      </c>
      <c r="N121" s="6">
        <f>(((N117)+(N118))+(N119))+(N120)</f>
        <v>2296.56</v>
      </c>
      <c r="O121" s="6">
        <f>(((O117)+(O118))+(O119))+(O120)</f>
        <v>4193.7800000000007</v>
      </c>
      <c r="P121" s="6">
        <f t="shared" si="12"/>
        <v>-1897.2200000000007</v>
      </c>
      <c r="Q121" s="6">
        <f t="shared" si="15"/>
        <v>17448.370000000003</v>
      </c>
      <c r="R121" s="6">
        <f t="shared" si="15"/>
        <v>24368.760000000002</v>
      </c>
      <c r="S121" s="6">
        <f t="shared" si="14"/>
        <v>-6920.3899999999994</v>
      </c>
    </row>
    <row r="122" spans="1:19" x14ac:dyDescent="0.25">
      <c r="A122" s="3" t="s">
        <v>293</v>
      </c>
      <c r="B122" s="5"/>
      <c r="C122" s="5"/>
      <c r="D122" s="4">
        <f t="shared" si="8"/>
        <v>0</v>
      </c>
      <c r="E122" s="5"/>
      <c r="F122" s="5"/>
      <c r="G122" s="4">
        <f t="shared" si="9"/>
        <v>0</v>
      </c>
      <c r="H122" s="5"/>
      <c r="I122" s="5"/>
      <c r="J122" s="4">
        <f t="shared" si="10"/>
        <v>0</v>
      </c>
      <c r="K122" s="5"/>
      <c r="L122" s="5"/>
      <c r="M122" s="4">
        <f t="shared" si="11"/>
        <v>0</v>
      </c>
      <c r="N122" s="5"/>
      <c r="O122" s="5"/>
      <c r="P122" s="4">
        <f t="shared" si="12"/>
        <v>0</v>
      </c>
      <c r="Q122" s="4">
        <f t="shared" si="15"/>
        <v>0</v>
      </c>
      <c r="R122" s="4">
        <f t="shared" si="15"/>
        <v>0</v>
      </c>
      <c r="S122" s="4">
        <f t="shared" si="14"/>
        <v>0</v>
      </c>
    </row>
    <row r="123" spans="1:19" x14ac:dyDescent="0.25">
      <c r="A123" s="3" t="s">
        <v>294</v>
      </c>
      <c r="B123" s="4">
        <f>977.4</f>
        <v>977.4</v>
      </c>
      <c r="C123" s="4">
        <f>509.44</f>
        <v>509.44</v>
      </c>
      <c r="D123" s="4">
        <f t="shared" si="8"/>
        <v>467.96</v>
      </c>
      <c r="E123" s="4">
        <f>1840.8</f>
        <v>1840.8</v>
      </c>
      <c r="F123" s="4">
        <f>1530.2</f>
        <v>1530.2</v>
      </c>
      <c r="G123" s="4">
        <f t="shared" si="9"/>
        <v>310.59999999999991</v>
      </c>
      <c r="H123" s="4">
        <f>2284.2</f>
        <v>2284.1999999999998</v>
      </c>
      <c r="I123" s="4">
        <f>688.62</f>
        <v>688.62</v>
      </c>
      <c r="J123" s="4">
        <f t="shared" si="10"/>
        <v>1595.58</v>
      </c>
      <c r="K123" s="5"/>
      <c r="L123" s="4">
        <f>1573.99</f>
        <v>1573.99</v>
      </c>
      <c r="M123" s="4">
        <f t="shared" si="11"/>
        <v>-1573.99</v>
      </c>
      <c r="N123" s="5"/>
      <c r="O123" s="4">
        <f>803.78</f>
        <v>803.78</v>
      </c>
      <c r="P123" s="4">
        <f t="shared" si="12"/>
        <v>-803.78</v>
      </c>
      <c r="Q123" s="4">
        <f t="shared" si="15"/>
        <v>5102.3999999999996</v>
      </c>
      <c r="R123" s="4">
        <f t="shared" si="15"/>
        <v>5106.03</v>
      </c>
      <c r="S123" s="4">
        <f t="shared" si="14"/>
        <v>-3.6300000000001091</v>
      </c>
    </row>
    <row r="124" spans="1:19" x14ac:dyDescent="0.25">
      <c r="A124" s="3" t="s">
        <v>295</v>
      </c>
      <c r="B124" s="4">
        <f>3088.25</f>
        <v>3088.25</v>
      </c>
      <c r="C124" s="5"/>
      <c r="D124" s="4">
        <f t="shared" si="8"/>
        <v>3088.25</v>
      </c>
      <c r="E124" s="4">
        <f>1458.74</f>
        <v>1458.74</v>
      </c>
      <c r="F124" s="5"/>
      <c r="G124" s="4">
        <f t="shared" si="9"/>
        <v>1458.74</v>
      </c>
      <c r="H124" s="4">
        <f>-3.09</f>
        <v>-3.09</v>
      </c>
      <c r="I124" s="5"/>
      <c r="J124" s="4">
        <f t="shared" si="10"/>
        <v>-3.09</v>
      </c>
      <c r="K124" s="4">
        <f>27.17</f>
        <v>27.17</v>
      </c>
      <c r="L124" s="5"/>
      <c r="M124" s="4">
        <f t="shared" si="11"/>
        <v>27.17</v>
      </c>
      <c r="N124" s="4">
        <f>130.85</f>
        <v>130.85</v>
      </c>
      <c r="O124" s="5"/>
      <c r="P124" s="4">
        <f t="shared" si="12"/>
        <v>130.85</v>
      </c>
      <c r="Q124" s="4">
        <f t="shared" si="15"/>
        <v>4701.92</v>
      </c>
      <c r="R124" s="4">
        <f t="shared" si="15"/>
        <v>0</v>
      </c>
      <c r="S124" s="4">
        <f t="shared" si="14"/>
        <v>4701.92</v>
      </c>
    </row>
    <row r="125" spans="1:19" x14ac:dyDescent="0.25">
      <c r="A125" s="3" t="s">
        <v>296</v>
      </c>
      <c r="B125" s="4">
        <f>1952.38</f>
        <v>1952.38</v>
      </c>
      <c r="C125" s="4">
        <f>59.43</f>
        <v>59.43</v>
      </c>
      <c r="D125" s="4">
        <f t="shared" ref="D125:D171" si="16">(B125)-(C125)</f>
        <v>1892.95</v>
      </c>
      <c r="E125" s="4">
        <f>1146.26</f>
        <v>1146.26</v>
      </c>
      <c r="F125" s="5"/>
      <c r="G125" s="4">
        <f t="shared" ref="G125:G171" si="17">(E125)-(F125)</f>
        <v>1146.26</v>
      </c>
      <c r="H125" s="5"/>
      <c r="I125" s="4">
        <f>312.48</f>
        <v>312.48</v>
      </c>
      <c r="J125" s="4">
        <f t="shared" ref="J125:J171" si="18">(H125)-(I125)</f>
        <v>-312.48</v>
      </c>
      <c r="K125" s="4">
        <f>2059.46</f>
        <v>2059.46</v>
      </c>
      <c r="L125" s="5"/>
      <c r="M125" s="4">
        <f t="shared" ref="M125:M171" si="19">(K125)-(L125)</f>
        <v>2059.46</v>
      </c>
      <c r="N125" s="4">
        <f>1813.76</f>
        <v>1813.76</v>
      </c>
      <c r="O125" s="5"/>
      <c r="P125" s="4">
        <f t="shared" ref="P125:P171" si="20">(N125)-(O125)</f>
        <v>1813.76</v>
      </c>
      <c r="Q125" s="4">
        <f t="shared" ref="Q125:R156" si="21">((((B125)+(E125))+(H125))+(K125))+(N125)</f>
        <v>6971.8600000000006</v>
      </c>
      <c r="R125" s="4">
        <f t="shared" si="21"/>
        <v>371.91</v>
      </c>
      <c r="S125" s="4">
        <f t="shared" ref="S125:S171" si="22">(Q125)-(R125)</f>
        <v>6599.9500000000007</v>
      </c>
    </row>
    <row r="126" spans="1:19" x14ac:dyDescent="0.25">
      <c r="A126" s="3" t="s">
        <v>297</v>
      </c>
      <c r="B126" s="6">
        <f>(((B122)+(B123))+(B124))+(B125)</f>
        <v>6018.0300000000007</v>
      </c>
      <c r="C126" s="6">
        <f>(((C122)+(C123))+(C124))+(C125)</f>
        <v>568.87</v>
      </c>
      <c r="D126" s="6">
        <f t="shared" si="16"/>
        <v>5449.1600000000008</v>
      </c>
      <c r="E126" s="6">
        <f>(((E122)+(E123))+(E124))+(E125)</f>
        <v>4445.8</v>
      </c>
      <c r="F126" s="6">
        <f>(((F122)+(F123))+(F124))+(F125)</f>
        <v>1530.2</v>
      </c>
      <c r="G126" s="6">
        <f t="shared" si="17"/>
        <v>2915.6000000000004</v>
      </c>
      <c r="H126" s="6">
        <f>(((H122)+(H123))+(H124))+(H125)</f>
        <v>2281.1099999999997</v>
      </c>
      <c r="I126" s="6">
        <f>(((I122)+(I123))+(I124))+(I125)</f>
        <v>1001.1</v>
      </c>
      <c r="J126" s="6">
        <f t="shared" si="18"/>
        <v>1280.0099999999998</v>
      </c>
      <c r="K126" s="6">
        <f>(((K122)+(K123))+(K124))+(K125)</f>
        <v>2086.63</v>
      </c>
      <c r="L126" s="6">
        <f>(((L122)+(L123))+(L124))+(L125)</f>
        <v>1573.99</v>
      </c>
      <c r="M126" s="6">
        <f t="shared" si="19"/>
        <v>512.6400000000001</v>
      </c>
      <c r="N126" s="6">
        <f>(((N122)+(N123))+(N124))+(N125)</f>
        <v>1944.61</v>
      </c>
      <c r="O126" s="6">
        <f>(((O122)+(O123))+(O124))+(O125)</f>
        <v>803.78</v>
      </c>
      <c r="P126" s="6">
        <f t="shared" si="20"/>
        <v>1140.83</v>
      </c>
      <c r="Q126" s="6">
        <f t="shared" si="21"/>
        <v>16776.180000000004</v>
      </c>
      <c r="R126" s="6">
        <f t="shared" si="21"/>
        <v>5477.94</v>
      </c>
      <c r="S126" s="6">
        <f t="shared" si="22"/>
        <v>11298.240000000005</v>
      </c>
    </row>
    <row r="127" spans="1:19" x14ac:dyDescent="0.25">
      <c r="A127" s="3" t="s">
        <v>298</v>
      </c>
      <c r="B127" s="6">
        <f>(((B102)+(B116))+(B121))+(B126)</f>
        <v>25996.400000000001</v>
      </c>
      <c r="C127" s="6">
        <f>(((C102)+(C116))+(C121))+(C126)</f>
        <v>44212.480000000003</v>
      </c>
      <c r="D127" s="6">
        <f t="shared" si="16"/>
        <v>-18216.080000000002</v>
      </c>
      <c r="E127" s="6">
        <f>(((E102)+(E116))+(E121))+(E126)</f>
        <v>18134.73</v>
      </c>
      <c r="F127" s="6">
        <f>(((F102)+(F116))+(F121))+(F126)</f>
        <v>54038.39</v>
      </c>
      <c r="G127" s="6">
        <f t="shared" si="17"/>
        <v>-35903.660000000003</v>
      </c>
      <c r="H127" s="6">
        <f>(((H102)+(H116))+(H121))+(H126)</f>
        <v>10835.759999999998</v>
      </c>
      <c r="I127" s="6">
        <f>(((I102)+(I116))+(I121))+(I126)</f>
        <v>-17857.38</v>
      </c>
      <c r="J127" s="6">
        <f t="shared" si="18"/>
        <v>28693.14</v>
      </c>
      <c r="K127" s="6">
        <f>(((K102)+(K116))+(K121))+(K126)</f>
        <v>12122.23</v>
      </c>
      <c r="L127" s="6">
        <f>(((L102)+(L116))+(L121))+(L126)</f>
        <v>24529.99</v>
      </c>
      <c r="M127" s="6">
        <f t="shared" si="19"/>
        <v>-12407.760000000002</v>
      </c>
      <c r="N127" s="6">
        <f>(((N102)+(N116))+(N121))+(N126)</f>
        <v>8702.36</v>
      </c>
      <c r="O127" s="6">
        <f>(((O102)+(O116))+(O121))+(O126)</f>
        <v>23618.03</v>
      </c>
      <c r="P127" s="6">
        <f t="shared" si="20"/>
        <v>-14915.669999999998</v>
      </c>
      <c r="Q127" s="6">
        <f t="shared" si="21"/>
        <v>75791.48</v>
      </c>
      <c r="R127" s="6">
        <f t="shared" si="21"/>
        <v>128541.51</v>
      </c>
      <c r="S127" s="6">
        <f t="shared" si="22"/>
        <v>-52750.03</v>
      </c>
    </row>
    <row r="128" spans="1:19" x14ac:dyDescent="0.25">
      <c r="A128" s="3" t="s">
        <v>299</v>
      </c>
      <c r="B128" s="4">
        <f>147.96</f>
        <v>147.96</v>
      </c>
      <c r="C128" s="4">
        <f>549.65</f>
        <v>549.65</v>
      </c>
      <c r="D128" s="4">
        <f t="shared" si="16"/>
        <v>-401.68999999999994</v>
      </c>
      <c r="E128" s="5"/>
      <c r="F128" s="4">
        <f>109.78</f>
        <v>109.78</v>
      </c>
      <c r="G128" s="4">
        <f t="shared" si="17"/>
        <v>-109.78</v>
      </c>
      <c r="H128" s="5"/>
      <c r="I128" s="4">
        <f>241.72</f>
        <v>241.72</v>
      </c>
      <c r="J128" s="4">
        <f t="shared" si="18"/>
        <v>-241.72</v>
      </c>
      <c r="K128" s="4">
        <f>920.01</f>
        <v>920.01</v>
      </c>
      <c r="L128" s="4">
        <f>118.99</f>
        <v>118.99</v>
      </c>
      <c r="M128" s="4">
        <f t="shared" si="19"/>
        <v>801.02</v>
      </c>
      <c r="N128" s="4">
        <f>52.29</f>
        <v>52.29</v>
      </c>
      <c r="O128" s="4">
        <f>355.89</f>
        <v>355.89</v>
      </c>
      <c r="P128" s="4">
        <f t="shared" si="20"/>
        <v>-303.59999999999997</v>
      </c>
      <c r="Q128" s="4">
        <f t="shared" si="21"/>
        <v>1120.26</v>
      </c>
      <c r="R128" s="4">
        <f t="shared" si="21"/>
        <v>1376.03</v>
      </c>
      <c r="S128" s="4">
        <f t="shared" si="22"/>
        <v>-255.76999999999998</v>
      </c>
    </row>
    <row r="129" spans="1:19" x14ac:dyDescent="0.25">
      <c r="A129" s="3" t="s">
        <v>300</v>
      </c>
      <c r="B129" s="5"/>
      <c r="C129" s="5"/>
      <c r="D129" s="4">
        <f t="shared" si="16"/>
        <v>0</v>
      </c>
      <c r="E129" s="5"/>
      <c r="F129" s="4">
        <f>60.06</f>
        <v>60.06</v>
      </c>
      <c r="G129" s="4">
        <f t="shared" si="17"/>
        <v>-60.06</v>
      </c>
      <c r="H129" s="5"/>
      <c r="I129" s="5"/>
      <c r="J129" s="4">
        <f t="shared" si="18"/>
        <v>0</v>
      </c>
      <c r="K129" s="5"/>
      <c r="L129" s="5"/>
      <c r="M129" s="4">
        <f t="shared" si="19"/>
        <v>0</v>
      </c>
      <c r="N129" s="5"/>
      <c r="O129" s="5"/>
      <c r="P129" s="4">
        <f t="shared" si="20"/>
        <v>0</v>
      </c>
      <c r="Q129" s="4">
        <f t="shared" si="21"/>
        <v>0</v>
      </c>
      <c r="R129" s="4">
        <f t="shared" si="21"/>
        <v>60.06</v>
      </c>
      <c r="S129" s="4">
        <f t="shared" si="22"/>
        <v>-60.06</v>
      </c>
    </row>
    <row r="130" spans="1:19" x14ac:dyDescent="0.25">
      <c r="A130" s="3" t="s">
        <v>301</v>
      </c>
      <c r="B130" s="4">
        <f>40</f>
        <v>40</v>
      </c>
      <c r="C130" s="4">
        <f>77.91</f>
        <v>77.91</v>
      </c>
      <c r="D130" s="4">
        <f t="shared" si="16"/>
        <v>-37.909999999999997</v>
      </c>
      <c r="E130" s="4">
        <f>57.25</f>
        <v>57.25</v>
      </c>
      <c r="F130" s="4">
        <f>22.79</f>
        <v>22.79</v>
      </c>
      <c r="G130" s="4">
        <f t="shared" si="17"/>
        <v>34.46</v>
      </c>
      <c r="H130" s="4">
        <f>57.25</f>
        <v>57.25</v>
      </c>
      <c r="I130" s="4">
        <f>46.84</f>
        <v>46.84</v>
      </c>
      <c r="J130" s="4">
        <f t="shared" si="18"/>
        <v>10.409999999999997</v>
      </c>
      <c r="K130" s="4">
        <f>47.25</f>
        <v>47.25</v>
      </c>
      <c r="L130" s="4">
        <f>129.41</f>
        <v>129.41</v>
      </c>
      <c r="M130" s="4">
        <f t="shared" si="19"/>
        <v>-82.16</v>
      </c>
      <c r="N130" s="4">
        <f>47.25</f>
        <v>47.25</v>
      </c>
      <c r="O130" s="4">
        <f>25.71</f>
        <v>25.71</v>
      </c>
      <c r="P130" s="4">
        <f t="shared" si="20"/>
        <v>21.54</v>
      </c>
      <c r="Q130" s="4">
        <f t="shared" si="21"/>
        <v>249</v>
      </c>
      <c r="R130" s="4">
        <f t="shared" si="21"/>
        <v>302.65999999999997</v>
      </c>
      <c r="S130" s="4">
        <f t="shared" si="22"/>
        <v>-53.659999999999968</v>
      </c>
    </row>
    <row r="131" spans="1:19" x14ac:dyDescent="0.25">
      <c r="A131" s="3" t="s">
        <v>302</v>
      </c>
      <c r="B131" s="4">
        <f>-478.5</f>
        <v>-478.5</v>
      </c>
      <c r="C131" s="5"/>
      <c r="D131" s="4">
        <f t="shared" si="16"/>
        <v>-478.5</v>
      </c>
      <c r="E131" s="5"/>
      <c r="F131" s="5"/>
      <c r="G131" s="4">
        <f t="shared" si="17"/>
        <v>0</v>
      </c>
      <c r="H131" s="4">
        <f>-212.45</f>
        <v>-212.45</v>
      </c>
      <c r="I131" s="4">
        <f>0</f>
        <v>0</v>
      </c>
      <c r="J131" s="4">
        <f t="shared" si="18"/>
        <v>-212.45</v>
      </c>
      <c r="K131" s="4">
        <f>-217.5</f>
        <v>-217.5</v>
      </c>
      <c r="L131" s="4">
        <f>0</f>
        <v>0</v>
      </c>
      <c r="M131" s="4">
        <f t="shared" si="19"/>
        <v>-217.5</v>
      </c>
      <c r="N131" s="4">
        <f>-87.5</f>
        <v>-87.5</v>
      </c>
      <c r="O131" s="5"/>
      <c r="P131" s="4">
        <f t="shared" si="20"/>
        <v>-87.5</v>
      </c>
      <c r="Q131" s="4">
        <f t="shared" si="21"/>
        <v>-995.95</v>
      </c>
      <c r="R131" s="4">
        <f t="shared" si="21"/>
        <v>0</v>
      </c>
      <c r="S131" s="4">
        <f t="shared" si="22"/>
        <v>-995.95</v>
      </c>
    </row>
    <row r="132" spans="1:19" x14ac:dyDescent="0.25">
      <c r="A132" s="3" t="s">
        <v>303</v>
      </c>
      <c r="B132" s="5"/>
      <c r="C132" s="5"/>
      <c r="D132" s="4">
        <f t="shared" si="16"/>
        <v>0</v>
      </c>
      <c r="E132" s="5"/>
      <c r="F132" s="5"/>
      <c r="G132" s="4">
        <f t="shared" si="17"/>
        <v>0</v>
      </c>
      <c r="H132" s="5"/>
      <c r="I132" s="5"/>
      <c r="J132" s="4">
        <f t="shared" si="18"/>
        <v>0</v>
      </c>
      <c r="K132" s="5"/>
      <c r="L132" s="5"/>
      <c r="M132" s="4">
        <f t="shared" si="19"/>
        <v>0</v>
      </c>
      <c r="N132" s="5"/>
      <c r="O132" s="5"/>
      <c r="P132" s="4">
        <f t="shared" si="20"/>
        <v>0</v>
      </c>
      <c r="Q132" s="4">
        <f t="shared" si="21"/>
        <v>0</v>
      </c>
      <c r="R132" s="4">
        <f t="shared" si="21"/>
        <v>0</v>
      </c>
      <c r="S132" s="4">
        <f t="shared" si="22"/>
        <v>0</v>
      </c>
    </row>
    <row r="133" spans="1:19" x14ac:dyDescent="0.25">
      <c r="A133" s="3" t="s">
        <v>304</v>
      </c>
      <c r="B133" s="4">
        <f>98.49</f>
        <v>98.49</v>
      </c>
      <c r="C133" s="4">
        <f>3997.63</f>
        <v>3997.63</v>
      </c>
      <c r="D133" s="4">
        <f t="shared" si="16"/>
        <v>-3899.1400000000003</v>
      </c>
      <c r="E133" s="4">
        <f>56.59</f>
        <v>56.59</v>
      </c>
      <c r="F133" s="4">
        <f>4596.4</f>
        <v>4596.3999999999996</v>
      </c>
      <c r="G133" s="4">
        <f t="shared" si="17"/>
        <v>-4539.8099999999995</v>
      </c>
      <c r="H133" s="4">
        <f>48.51</f>
        <v>48.51</v>
      </c>
      <c r="I133" s="4">
        <f>719.07</f>
        <v>719.07</v>
      </c>
      <c r="J133" s="4">
        <f t="shared" si="18"/>
        <v>-670.56000000000006</v>
      </c>
      <c r="K133" s="4">
        <f>48.51</f>
        <v>48.51</v>
      </c>
      <c r="L133" s="4">
        <f>178.29</f>
        <v>178.29</v>
      </c>
      <c r="M133" s="4">
        <f t="shared" si="19"/>
        <v>-129.78</v>
      </c>
      <c r="N133" s="4">
        <f>48.51</f>
        <v>48.51</v>
      </c>
      <c r="O133" s="4">
        <f>178.29</f>
        <v>178.29</v>
      </c>
      <c r="P133" s="4">
        <f t="shared" si="20"/>
        <v>-129.78</v>
      </c>
      <c r="Q133" s="4">
        <f t="shared" si="21"/>
        <v>300.60999999999996</v>
      </c>
      <c r="R133" s="4">
        <f t="shared" si="21"/>
        <v>9669.68</v>
      </c>
      <c r="S133" s="4">
        <f t="shared" si="22"/>
        <v>-9369.07</v>
      </c>
    </row>
    <row r="134" spans="1:19" x14ac:dyDescent="0.25">
      <c r="A134" s="3" t="s">
        <v>305</v>
      </c>
      <c r="B134" s="4">
        <f>313.06</f>
        <v>313.06</v>
      </c>
      <c r="C134" s="4">
        <f>416.84</f>
        <v>416.84</v>
      </c>
      <c r="D134" s="4">
        <f t="shared" si="16"/>
        <v>-103.77999999999997</v>
      </c>
      <c r="E134" s="4">
        <f>442.8</f>
        <v>442.8</v>
      </c>
      <c r="F134" s="5"/>
      <c r="G134" s="4">
        <f t="shared" si="17"/>
        <v>442.8</v>
      </c>
      <c r="H134" s="4">
        <f>1538.81</f>
        <v>1538.81</v>
      </c>
      <c r="I134" s="4">
        <f>416.52</f>
        <v>416.52</v>
      </c>
      <c r="J134" s="4">
        <f t="shared" si="18"/>
        <v>1122.29</v>
      </c>
      <c r="K134" s="4">
        <f>442.8</f>
        <v>442.8</v>
      </c>
      <c r="L134" s="5"/>
      <c r="M134" s="4">
        <f t="shared" si="19"/>
        <v>442.8</v>
      </c>
      <c r="N134" s="4">
        <f>442.8</f>
        <v>442.8</v>
      </c>
      <c r="O134" s="4">
        <f>588.05</f>
        <v>588.04999999999995</v>
      </c>
      <c r="P134" s="4">
        <f t="shared" si="20"/>
        <v>-145.24999999999994</v>
      </c>
      <c r="Q134" s="4">
        <f t="shared" si="21"/>
        <v>3180.2700000000004</v>
      </c>
      <c r="R134" s="4">
        <f t="shared" si="21"/>
        <v>1421.4099999999999</v>
      </c>
      <c r="S134" s="4">
        <f t="shared" si="22"/>
        <v>1758.8600000000006</v>
      </c>
    </row>
    <row r="135" spans="1:19" x14ac:dyDescent="0.25">
      <c r="A135" s="3" t="s">
        <v>306</v>
      </c>
      <c r="B135" s="4">
        <f>234.99</f>
        <v>234.99</v>
      </c>
      <c r="C135" s="4">
        <f>445.41</f>
        <v>445.41</v>
      </c>
      <c r="D135" s="4">
        <f t="shared" si="16"/>
        <v>-210.42000000000002</v>
      </c>
      <c r="E135" s="4">
        <f>34.99</f>
        <v>34.99</v>
      </c>
      <c r="F135" s="4">
        <f>122.73</f>
        <v>122.73</v>
      </c>
      <c r="G135" s="4">
        <f t="shared" si="17"/>
        <v>-87.740000000000009</v>
      </c>
      <c r="H135" s="4">
        <f>287.11</f>
        <v>287.11</v>
      </c>
      <c r="I135" s="4">
        <f>42.34</f>
        <v>42.34</v>
      </c>
      <c r="J135" s="4">
        <f t="shared" si="18"/>
        <v>244.77</v>
      </c>
      <c r="K135" s="4">
        <f>34.99</f>
        <v>34.99</v>
      </c>
      <c r="L135" s="4">
        <f>42.34</f>
        <v>42.34</v>
      </c>
      <c r="M135" s="4">
        <f t="shared" si="19"/>
        <v>-7.3500000000000014</v>
      </c>
      <c r="N135" s="4">
        <f>607.48</f>
        <v>607.48</v>
      </c>
      <c r="O135" s="4">
        <f>160.49</f>
        <v>160.49</v>
      </c>
      <c r="P135" s="4">
        <f t="shared" si="20"/>
        <v>446.99</v>
      </c>
      <c r="Q135" s="4">
        <f t="shared" si="21"/>
        <v>1199.56</v>
      </c>
      <c r="R135" s="4">
        <f t="shared" si="21"/>
        <v>813.31000000000006</v>
      </c>
      <c r="S135" s="4">
        <f t="shared" si="22"/>
        <v>386.24999999999989</v>
      </c>
    </row>
    <row r="136" spans="1:19" x14ac:dyDescent="0.25">
      <c r="A136" s="3" t="s">
        <v>307</v>
      </c>
      <c r="B136" s="4">
        <f>229.18</f>
        <v>229.18</v>
      </c>
      <c r="C136" s="4">
        <f>3620.28</f>
        <v>3620.28</v>
      </c>
      <c r="D136" s="4">
        <f t="shared" si="16"/>
        <v>-3391.1000000000004</v>
      </c>
      <c r="E136" s="4">
        <f>1273.33</f>
        <v>1273.33</v>
      </c>
      <c r="F136" s="4">
        <f>74</f>
        <v>74</v>
      </c>
      <c r="G136" s="4">
        <f t="shared" si="17"/>
        <v>1199.33</v>
      </c>
      <c r="H136" s="4">
        <f>997.77</f>
        <v>997.77</v>
      </c>
      <c r="I136" s="4">
        <f>1004.8</f>
        <v>1004.8</v>
      </c>
      <c r="J136" s="4">
        <f t="shared" si="18"/>
        <v>-7.0299999999999727</v>
      </c>
      <c r="K136" s="4">
        <f>1366.35</f>
        <v>1366.35</v>
      </c>
      <c r="L136" s="4">
        <f>892.07</f>
        <v>892.07</v>
      </c>
      <c r="M136" s="4">
        <f t="shared" si="19"/>
        <v>474.27999999999986</v>
      </c>
      <c r="N136" s="4">
        <f>1127.37</f>
        <v>1127.3699999999999</v>
      </c>
      <c r="O136" s="4">
        <f>1441.78</f>
        <v>1441.78</v>
      </c>
      <c r="P136" s="4">
        <f t="shared" si="20"/>
        <v>-314.41000000000008</v>
      </c>
      <c r="Q136" s="4">
        <f t="shared" si="21"/>
        <v>4994</v>
      </c>
      <c r="R136" s="4">
        <f t="shared" si="21"/>
        <v>7032.9299999999994</v>
      </c>
      <c r="S136" s="4">
        <f t="shared" si="22"/>
        <v>-2038.9299999999994</v>
      </c>
    </row>
    <row r="137" spans="1:19" x14ac:dyDescent="0.25">
      <c r="A137" s="3" t="s">
        <v>308</v>
      </c>
      <c r="B137" s="6">
        <f>((((B132)+(B133))+(B134))+(B135))+(B136)</f>
        <v>875.72</v>
      </c>
      <c r="C137" s="6">
        <f>((((C132)+(C133))+(C134))+(C135))+(C136)</f>
        <v>8480.16</v>
      </c>
      <c r="D137" s="6">
        <f t="shared" si="16"/>
        <v>-7604.44</v>
      </c>
      <c r="E137" s="6">
        <f>((((E132)+(E133))+(E134))+(E135))+(E136)</f>
        <v>1807.71</v>
      </c>
      <c r="F137" s="6">
        <f>((((F132)+(F133))+(F134))+(F135))+(F136)</f>
        <v>4793.1299999999992</v>
      </c>
      <c r="G137" s="6">
        <f t="shared" si="17"/>
        <v>-2985.4199999999992</v>
      </c>
      <c r="H137" s="6">
        <f>((((H132)+(H133))+(H134))+(H135))+(H136)</f>
        <v>2872.2</v>
      </c>
      <c r="I137" s="6">
        <f>((((I132)+(I133))+(I134))+(I135))+(I136)</f>
        <v>2182.73</v>
      </c>
      <c r="J137" s="6">
        <f t="shared" si="18"/>
        <v>689.4699999999998</v>
      </c>
      <c r="K137" s="6">
        <f>((((K132)+(K133))+(K134))+(K135))+(K136)</f>
        <v>1892.6499999999999</v>
      </c>
      <c r="L137" s="6">
        <f>((((L132)+(L133))+(L134))+(L135))+(L136)</f>
        <v>1112.7</v>
      </c>
      <c r="M137" s="6">
        <f t="shared" si="19"/>
        <v>779.94999999999982</v>
      </c>
      <c r="N137" s="6">
        <f>((((N132)+(N133))+(N134))+(N135))+(N136)</f>
        <v>2226.16</v>
      </c>
      <c r="O137" s="6">
        <f>((((O132)+(O133))+(O134))+(O135))+(O136)</f>
        <v>2368.6099999999997</v>
      </c>
      <c r="P137" s="6">
        <f t="shared" si="20"/>
        <v>-142.44999999999982</v>
      </c>
      <c r="Q137" s="6">
        <f t="shared" si="21"/>
        <v>9674.4399999999987</v>
      </c>
      <c r="R137" s="6">
        <f t="shared" si="21"/>
        <v>18937.329999999998</v>
      </c>
      <c r="S137" s="6">
        <f t="shared" si="22"/>
        <v>-9262.89</v>
      </c>
    </row>
    <row r="138" spans="1:19" x14ac:dyDescent="0.25">
      <c r="A138" s="3" t="s">
        <v>309</v>
      </c>
      <c r="B138" s="4">
        <f>1697.65</f>
        <v>1697.65</v>
      </c>
      <c r="C138" s="4">
        <f>1835.36</f>
        <v>1835.36</v>
      </c>
      <c r="D138" s="4">
        <f t="shared" si="16"/>
        <v>-137.70999999999981</v>
      </c>
      <c r="E138" s="4">
        <f>1697.65</f>
        <v>1697.65</v>
      </c>
      <c r="F138" s="4">
        <f>165</f>
        <v>165</v>
      </c>
      <c r="G138" s="4">
        <f t="shared" si="17"/>
        <v>1532.65</v>
      </c>
      <c r="H138" s="4">
        <f>1697.65</f>
        <v>1697.65</v>
      </c>
      <c r="I138" s="5"/>
      <c r="J138" s="4">
        <f t="shared" si="18"/>
        <v>1697.65</v>
      </c>
      <c r="K138" s="4">
        <f>1697.65</f>
        <v>1697.65</v>
      </c>
      <c r="L138" s="4">
        <f>3510.3</f>
        <v>3510.3</v>
      </c>
      <c r="M138" s="4">
        <f t="shared" si="19"/>
        <v>-1812.65</v>
      </c>
      <c r="N138" s="4">
        <f>1697.65</f>
        <v>1697.65</v>
      </c>
      <c r="O138" s="4">
        <f>1697.65</f>
        <v>1697.65</v>
      </c>
      <c r="P138" s="4">
        <f t="shared" si="20"/>
        <v>0</v>
      </c>
      <c r="Q138" s="4">
        <f t="shared" si="21"/>
        <v>8488.25</v>
      </c>
      <c r="R138" s="4">
        <f t="shared" si="21"/>
        <v>7208.3099999999995</v>
      </c>
      <c r="S138" s="4">
        <f t="shared" si="22"/>
        <v>1279.9400000000005</v>
      </c>
    </row>
    <row r="139" spans="1:19" x14ac:dyDescent="0.25">
      <c r="A139" s="3" t="s">
        <v>310</v>
      </c>
      <c r="B139" s="5"/>
      <c r="C139" s="5"/>
      <c r="D139" s="4">
        <f t="shared" si="16"/>
        <v>0</v>
      </c>
      <c r="E139" s="5"/>
      <c r="F139" s="5"/>
      <c r="G139" s="4">
        <f t="shared" si="17"/>
        <v>0</v>
      </c>
      <c r="H139" s="5"/>
      <c r="I139" s="5"/>
      <c r="J139" s="4">
        <f t="shared" si="18"/>
        <v>0</v>
      </c>
      <c r="K139" s="5"/>
      <c r="L139" s="5"/>
      <c r="M139" s="4">
        <f t="shared" si="19"/>
        <v>0</v>
      </c>
      <c r="N139" s="5"/>
      <c r="O139" s="5"/>
      <c r="P139" s="4">
        <f t="shared" si="20"/>
        <v>0</v>
      </c>
      <c r="Q139" s="4">
        <f t="shared" si="21"/>
        <v>0</v>
      </c>
      <c r="R139" s="4">
        <f t="shared" si="21"/>
        <v>0</v>
      </c>
      <c r="S139" s="4">
        <f t="shared" si="22"/>
        <v>0</v>
      </c>
    </row>
    <row r="140" spans="1:19" x14ac:dyDescent="0.25">
      <c r="A140" s="3" t="s">
        <v>311</v>
      </c>
      <c r="B140" s="4">
        <f>1083.41</f>
        <v>1083.4100000000001</v>
      </c>
      <c r="C140" s="4">
        <f>10053</f>
        <v>10053</v>
      </c>
      <c r="D140" s="4">
        <f t="shared" si="16"/>
        <v>-8969.59</v>
      </c>
      <c r="E140" s="4">
        <f>-315.76</f>
        <v>-315.76</v>
      </c>
      <c r="F140" s="4">
        <f>-866</f>
        <v>-866</v>
      </c>
      <c r="G140" s="4">
        <f t="shared" si="17"/>
        <v>550.24</v>
      </c>
      <c r="H140" s="4">
        <f>550.24</f>
        <v>550.24</v>
      </c>
      <c r="I140" s="4">
        <f>-508.5</f>
        <v>-508.5</v>
      </c>
      <c r="J140" s="4">
        <f t="shared" si="18"/>
        <v>1058.74</v>
      </c>
      <c r="K140" s="4">
        <f>550.24</f>
        <v>550.24</v>
      </c>
      <c r="L140" s="4">
        <f>-151</f>
        <v>-151</v>
      </c>
      <c r="M140" s="4">
        <f t="shared" si="19"/>
        <v>701.24</v>
      </c>
      <c r="N140" s="4">
        <f>550.24</f>
        <v>550.24</v>
      </c>
      <c r="O140" s="4">
        <f>357.5</f>
        <v>357.5</v>
      </c>
      <c r="P140" s="4">
        <f t="shared" si="20"/>
        <v>192.74</v>
      </c>
      <c r="Q140" s="4">
        <f t="shared" si="21"/>
        <v>2418.37</v>
      </c>
      <c r="R140" s="4">
        <f t="shared" si="21"/>
        <v>8885</v>
      </c>
      <c r="S140" s="4">
        <f t="shared" si="22"/>
        <v>-6466.63</v>
      </c>
    </row>
    <row r="141" spans="1:19" x14ac:dyDescent="0.25">
      <c r="A141" s="3" t="s">
        <v>312</v>
      </c>
      <c r="B141" s="4">
        <f>3079.09</f>
        <v>3079.09</v>
      </c>
      <c r="C141" s="5"/>
      <c r="D141" s="4">
        <f t="shared" si="16"/>
        <v>3079.09</v>
      </c>
      <c r="E141" s="4">
        <f>3079.08</f>
        <v>3079.08</v>
      </c>
      <c r="F141" s="5"/>
      <c r="G141" s="4">
        <f t="shared" si="17"/>
        <v>3079.08</v>
      </c>
      <c r="H141" s="4">
        <f>3079.08</f>
        <v>3079.08</v>
      </c>
      <c r="I141" s="4">
        <f>2993.5</f>
        <v>2993.5</v>
      </c>
      <c r="J141" s="4">
        <f t="shared" si="18"/>
        <v>85.579999999999927</v>
      </c>
      <c r="K141" s="4">
        <f>3079.08</f>
        <v>3079.08</v>
      </c>
      <c r="L141" s="4">
        <f>5987</f>
        <v>5987</v>
      </c>
      <c r="M141" s="4">
        <f t="shared" si="19"/>
        <v>-2907.92</v>
      </c>
      <c r="N141" s="4">
        <f>3079.08</f>
        <v>3079.08</v>
      </c>
      <c r="O141" s="4">
        <f>2993.5</f>
        <v>2993.5</v>
      </c>
      <c r="P141" s="4">
        <f t="shared" si="20"/>
        <v>85.579999999999927</v>
      </c>
      <c r="Q141" s="4">
        <f t="shared" si="21"/>
        <v>15395.41</v>
      </c>
      <c r="R141" s="4">
        <f t="shared" si="21"/>
        <v>11974</v>
      </c>
      <c r="S141" s="4">
        <f t="shared" si="22"/>
        <v>3421.41</v>
      </c>
    </row>
    <row r="142" spans="1:19" x14ac:dyDescent="0.25">
      <c r="A142" s="3" t="s">
        <v>313</v>
      </c>
      <c r="B142" s="4">
        <f>299.16</f>
        <v>299.16000000000003</v>
      </c>
      <c r="C142" s="4">
        <f>1653.51</f>
        <v>1653.51</v>
      </c>
      <c r="D142" s="4">
        <f t="shared" si="16"/>
        <v>-1354.35</v>
      </c>
      <c r="E142" s="4">
        <f>299.17</f>
        <v>299.17</v>
      </c>
      <c r="F142" s="5"/>
      <c r="G142" s="4">
        <f t="shared" si="17"/>
        <v>299.17</v>
      </c>
      <c r="H142" s="4">
        <f>299.17</f>
        <v>299.17</v>
      </c>
      <c r="I142" s="4">
        <f>555.17</f>
        <v>555.16999999999996</v>
      </c>
      <c r="J142" s="4">
        <f t="shared" si="18"/>
        <v>-255.99999999999994</v>
      </c>
      <c r="K142" s="4">
        <f>299.17</f>
        <v>299.17</v>
      </c>
      <c r="L142" s="4">
        <f>1110.33</f>
        <v>1110.33</v>
      </c>
      <c r="M142" s="4">
        <f t="shared" si="19"/>
        <v>-811.15999999999985</v>
      </c>
      <c r="N142" s="4">
        <f>322.5</f>
        <v>322.5</v>
      </c>
      <c r="O142" s="4">
        <f>555.16</f>
        <v>555.16</v>
      </c>
      <c r="P142" s="4">
        <f t="shared" si="20"/>
        <v>-232.65999999999997</v>
      </c>
      <c r="Q142" s="4">
        <f t="shared" si="21"/>
        <v>1519.17</v>
      </c>
      <c r="R142" s="4">
        <f t="shared" si="21"/>
        <v>3874.1699999999996</v>
      </c>
      <c r="S142" s="4">
        <f t="shared" si="22"/>
        <v>-2354.9999999999995</v>
      </c>
    </row>
    <row r="143" spans="1:19" x14ac:dyDescent="0.25">
      <c r="A143" s="3" t="s">
        <v>314</v>
      </c>
      <c r="B143" s="6">
        <f>(((B139)+(B140))+(B141))+(B142)</f>
        <v>4461.66</v>
      </c>
      <c r="C143" s="6">
        <f>(((C139)+(C140))+(C141))+(C142)</f>
        <v>11706.51</v>
      </c>
      <c r="D143" s="6">
        <f t="shared" si="16"/>
        <v>-7244.85</v>
      </c>
      <c r="E143" s="6">
        <f>(((E139)+(E140))+(E141))+(E142)</f>
        <v>3062.49</v>
      </c>
      <c r="F143" s="6">
        <f>(((F139)+(F140))+(F141))+(F142)</f>
        <v>-866</v>
      </c>
      <c r="G143" s="6">
        <f t="shared" si="17"/>
        <v>3928.49</v>
      </c>
      <c r="H143" s="6">
        <f>(((H139)+(H140))+(H141))+(H142)</f>
        <v>3928.49</v>
      </c>
      <c r="I143" s="6">
        <f>(((I139)+(I140))+(I141))+(I142)</f>
        <v>3040.17</v>
      </c>
      <c r="J143" s="6">
        <f t="shared" si="18"/>
        <v>888.31999999999971</v>
      </c>
      <c r="K143" s="6">
        <f>(((K139)+(K140))+(K141))+(K142)</f>
        <v>3928.49</v>
      </c>
      <c r="L143" s="6">
        <f>(((L139)+(L140))+(L141))+(L142)</f>
        <v>6946.33</v>
      </c>
      <c r="M143" s="6">
        <f t="shared" si="19"/>
        <v>-3017.84</v>
      </c>
      <c r="N143" s="6">
        <f>(((N139)+(N140))+(N141))+(N142)</f>
        <v>3951.8199999999997</v>
      </c>
      <c r="O143" s="6">
        <f>(((O139)+(O140))+(O141))+(O142)</f>
        <v>3906.16</v>
      </c>
      <c r="P143" s="6">
        <f t="shared" si="20"/>
        <v>45.659999999999854</v>
      </c>
      <c r="Q143" s="6">
        <f t="shared" si="21"/>
        <v>19332.949999999997</v>
      </c>
      <c r="R143" s="6">
        <f t="shared" si="21"/>
        <v>24733.170000000002</v>
      </c>
      <c r="S143" s="6">
        <f t="shared" si="22"/>
        <v>-5400.2200000000048</v>
      </c>
    </row>
    <row r="144" spans="1:19" x14ac:dyDescent="0.25">
      <c r="A144" s="3" t="s">
        <v>315</v>
      </c>
      <c r="B144" s="5"/>
      <c r="C144" s="5"/>
      <c r="D144" s="4">
        <f t="shared" si="16"/>
        <v>0</v>
      </c>
      <c r="E144" s="5"/>
      <c r="F144" s="4">
        <f>1241.65</f>
        <v>1241.6500000000001</v>
      </c>
      <c r="G144" s="4">
        <f t="shared" si="17"/>
        <v>-1241.6500000000001</v>
      </c>
      <c r="H144" s="5"/>
      <c r="I144" s="5"/>
      <c r="J144" s="4">
        <f t="shared" si="18"/>
        <v>0</v>
      </c>
      <c r="K144" s="5"/>
      <c r="L144" s="4">
        <f>2075</f>
        <v>2075</v>
      </c>
      <c r="M144" s="4">
        <f t="shared" si="19"/>
        <v>-2075</v>
      </c>
      <c r="N144" s="5"/>
      <c r="O144" s="5"/>
      <c r="P144" s="4">
        <f t="shared" si="20"/>
        <v>0</v>
      </c>
      <c r="Q144" s="4">
        <f t="shared" si="21"/>
        <v>0</v>
      </c>
      <c r="R144" s="4">
        <f t="shared" si="21"/>
        <v>3316.65</v>
      </c>
      <c r="S144" s="4">
        <f t="shared" si="22"/>
        <v>-3316.65</v>
      </c>
    </row>
    <row r="145" spans="1:19" x14ac:dyDescent="0.25">
      <c r="A145" s="3" t="s">
        <v>316</v>
      </c>
      <c r="B145" s="4">
        <f>510</f>
        <v>510</v>
      </c>
      <c r="C145" s="4">
        <f>662.7</f>
        <v>662.7</v>
      </c>
      <c r="D145" s="4">
        <f t="shared" si="16"/>
        <v>-152.70000000000005</v>
      </c>
      <c r="E145" s="4">
        <f>510</f>
        <v>510</v>
      </c>
      <c r="F145" s="4">
        <f>92.28</f>
        <v>92.28</v>
      </c>
      <c r="G145" s="4">
        <f t="shared" si="17"/>
        <v>417.72</v>
      </c>
      <c r="H145" s="5"/>
      <c r="I145" s="4">
        <f>110.36</f>
        <v>110.36</v>
      </c>
      <c r="J145" s="4">
        <f t="shared" si="18"/>
        <v>-110.36</v>
      </c>
      <c r="K145" s="5"/>
      <c r="L145" s="4">
        <f>165.4</f>
        <v>165.4</v>
      </c>
      <c r="M145" s="4">
        <f t="shared" si="19"/>
        <v>-165.4</v>
      </c>
      <c r="N145" s="5"/>
      <c r="O145" s="4">
        <f>365.69</f>
        <v>365.69</v>
      </c>
      <c r="P145" s="4">
        <f t="shared" si="20"/>
        <v>-365.69</v>
      </c>
      <c r="Q145" s="4">
        <f t="shared" si="21"/>
        <v>1020</v>
      </c>
      <c r="R145" s="4">
        <f t="shared" si="21"/>
        <v>1396.43</v>
      </c>
      <c r="S145" s="4">
        <f t="shared" si="22"/>
        <v>-376.43000000000006</v>
      </c>
    </row>
    <row r="146" spans="1:19" x14ac:dyDescent="0.25">
      <c r="A146" s="3" t="s">
        <v>361</v>
      </c>
      <c r="B146" s="5"/>
      <c r="C146" s="4">
        <f>150</f>
        <v>150</v>
      </c>
      <c r="D146" s="4">
        <f t="shared" si="16"/>
        <v>-150</v>
      </c>
      <c r="E146" s="5"/>
      <c r="F146" s="5"/>
      <c r="G146" s="4">
        <f t="shared" si="17"/>
        <v>0</v>
      </c>
      <c r="H146" s="5"/>
      <c r="I146" s="5"/>
      <c r="J146" s="4">
        <f t="shared" si="18"/>
        <v>0</v>
      </c>
      <c r="K146" s="5"/>
      <c r="L146" s="5"/>
      <c r="M146" s="4">
        <f t="shared" si="19"/>
        <v>0</v>
      </c>
      <c r="N146" s="5"/>
      <c r="O146" s="5"/>
      <c r="P146" s="4">
        <f t="shared" si="20"/>
        <v>0</v>
      </c>
      <c r="Q146" s="4">
        <f t="shared" si="21"/>
        <v>0</v>
      </c>
      <c r="R146" s="4">
        <f t="shared" si="21"/>
        <v>150</v>
      </c>
      <c r="S146" s="4">
        <f t="shared" si="22"/>
        <v>-150</v>
      </c>
    </row>
    <row r="147" spans="1:19" x14ac:dyDescent="0.25">
      <c r="A147" s="3" t="s">
        <v>317</v>
      </c>
      <c r="B147" s="4">
        <f>833.33</f>
        <v>833.33</v>
      </c>
      <c r="C147" s="4">
        <f>1390.83</f>
        <v>1390.83</v>
      </c>
      <c r="D147" s="4">
        <f t="shared" si="16"/>
        <v>-557.49999999999989</v>
      </c>
      <c r="E147" s="4">
        <f>833.33</f>
        <v>833.33</v>
      </c>
      <c r="F147" s="4">
        <f>9615.83</f>
        <v>9615.83</v>
      </c>
      <c r="G147" s="4">
        <f t="shared" si="17"/>
        <v>-8782.5</v>
      </c>
      <c r="H147" s="4">
        <f>1102.11</f>
        <v>1102.1099999999999</v>
      </c>
      <c r="I147" s="4">
        <f>843.1</f>
        <v>843.1</v>
      </c>
      <c r="J147" s="4">
        <f t="shared" si="18"/>
        <v>259.00999999999988</v>
      </c>
      <c r="K147" s="4">
        <f>58.4</f>
        <v>58.4</v>
      </c>
      <c r="L147" s="4">
        <f>3461.45</f>
        <v>3461.45</v>
      </c>
      <c r="M147" s="4">
        <f t="shared" si="19"/>
        <v>-3403.0499999999997</v>
      </c>
      <c r="N147" s="4">
        <f>17.92</f>
        <v>17.920000000000002</v>
      </c>
      <c r="O147" s="4">
        <f>1152.28</f>
        <v>1152.28</v>
      </c>
      <c r="P147" s="4">
        <f t="shared" si="20"/>
        <v>-1134.3599999999999</v>
      </c>
      <c r="Q147" s="4">
        <f t="shared" si="21"/>
        <v>2845.09</v>
      </c>
      <c r="R147" s="4">
        <f t="shared" si="21"/>
        <v>16463.489999999998</v>
      </c>
      <c r="S147" s="4">
        <f t="shared" si="22"/>
        <v>-13618.399999999998</v>
      </c>
    </row>
    <row r="148" spans="1:19" x14ac:dyDescent="0.25">
      <c r="A148" s="3" t="s">
        <v>318</v>
      </c>
      <c r="B148" s="6">
        <f>(((B144)+(B145))+(B146))+(B147)</f>
        <v>1343.33</v>
      </c>
      <c r="C148" s="6">
        <f>(((C144)+(C145))+(C146))+(C147)</f>
        <v>2203.5299999999997</v>
      </c>
      <c r="D148" s="6">
        <f t="shared" si="16"/>
        <v>-860.19999999999982</v>
      </c>
      <c r="E148" s="6">
        <f>(((E144)+(E145))+(E146))+(E147)</f>
        <v>1343.33</v>
      </c>
      <c r="F148" s="6">
        <f>(((F144)+(F145))+(F146))+(F147)</f>
        <v>10949.76</v>
      </c>
      <c r="G148" s="6">
        <f t="shared" si="17"/>
        <v>-9606.43</v>
      </c>
      <c r="H148" s="6">
        <f>(((H144)+(H145))+(H146))+(H147)</f>
        <v>1102.1099999999999</v>
      </c>
      <c r="I148" s="6">
        <f>(((I144)+(I145))+(I146))+(I147)</f>
        <v>953.46</v>
      </c>
      <c r="J148" s="6">
        <f t="shared" si="18"/>
        <v>148.64999999999986</v>
      </c>
      <c r="K148" s="6">
        <f>(((K144)+(K145))+(K146))+(K147)</f>
        <v>58.4</v>
      </c>
      <c r="L148" s="6">
        <f>(((L144)+(L145))+(L146))+(L147)</f>
        <v>5701.85</v>
      </c>
      <c r="M148" s="6">
        <f t="shared" si="19"/>
        <v>-5643.4500000000007</v>
      </c>
      <c r="N148" s="6">
        <f>(((N144)+(N145))+(N146))+(N147)</f>
        <v>17.920000000000002</v>
      </c>
      <c r="O148" s="6">
        <f>(((O144)+(O145))+(O146))+(O147)</f>
        <v>1517.97</v>
      </c>
      <c r="P148" s="6">
        <f t="shared" si="20"/>
        <v>-1500.05</v>
      </c>
      <c r="Q148" s="6">
        <f t="shared" si="21"/>
        <v>3865.0899999999997</v>
      </c>
      <c r="R148" s="6">
        <f t="shared" si="21"/>
        <v>21326.57</v>
      </c>
      <c r="S148" s="6">
        <f t="shared" si="22"/>
        <v>-17461.48</v>
      </c>
    </row>
    <row r="149" spans="1:19" x14ac:dyDescent="0.25">
      <c r="A149" s="3" t="s">
        <v>319</v>
      </c>
      <c r="B149" s="6">
        <f>((((((B129)+(B130))+(B131))+(B137))+(B138))+(B143))+(B148)</f>
        <v>7939.86</v>
      </c>
      <c r="C149" s="6">
        <f>((((((C129)+(C130))+(C131))+(C137))+(C138))+(C143))+(C148)</f>
        <v>24303.47</v>
      </c>
      <c r="D149" s="6">
        <f t="shared" si="16"/>
        <v>-16363.61</v>
      </c>
      <c r="E149" s="6">
        <f>((((((E129)+(E130))+(E131))+(E137))+(E138))+(E143))+(E148)</f>
        <v>7968.43</v>
      </c>
      <c r="F149" s="6">
        <f>((((((F129)+(F130))+(F131))+(F137))+(F138))+(F143))+(F148)</f>
        <v>15124.74</v>
      </c>
      <c r="G149" s="6">
        <f t="shared" si="17"/>
        <v>-7156.3099999999995</v>
      </c>
      <c r="H149" s="6">
        <f>((((((H129)+(H130))+(H131))+(H137))+(H138))+(H143))+(H148)</f>
        <v>9445.25</v>
      </c>
      <c r="I149" s="6">
        <f>((((((I129)+(I130))+(I131))+(I137))+(I138))+(I143))+(I148)</f>
        <v>6223.2</v>
      </c>
      <c r="J149" s="6">
        <f t="shared" si="18"/>
        <v>3222.05</v>
      </c>
      <c r="K149" s="6">
        <f>((((((K129)+(K130))+(K131))+(K137))+(K138))+(K143))+(K148)</f>
        <v>7406.94</v>
      </c>
      <c r="L149" s="6">
        <f>((((((L129)+(L130))+(L131))+(L137))+(L138))+(L143))+(L148)</f>
        <v>17400.59</v>
      </c>
      <c r="M149" s="6">
        <f t="shared" si="19"/>
        <v>-9993.6500000000015</v>
      </c>
      <c r="N149" s="6">
        <f>((((((N129)+(N130))+(N131))+(N137))+(N138))+(N143))+(N148)</f>
        <v>7853.2999999999993</v>
      </c>
      <c r="O149" s="6">
        <f>((((((O129)+(O130))+(O131))+(O137))+(O138))+(O143))+(O148)</f>
        <v>9516.0999999999985</v>
      </c>
      <c r="P149" s="6">
        <f t="shared" si="20"/>
        <v>-1662.7999999999993</v>
      </c>
      <c r="Q149" s="6">
        <f t="shared" si="21"/>
        <v>40613.78</v>
      </c>
      <c r="R149" s="6">
        <f t="shared" si="21"/>
        <v>72568.100000000006</v>
      </c>
      <c r="S149" s="6">
        <f t="shared" si="22"/>
        <v>-31954.320000000007</v>
      </c>
    </row>
    <row r="150" spans="1:19" x14ac:dyDescent="0.25">
      <c r="A150" s="3" t="s">
        <v>320</v>
      </c>
      <c r="B150" s="5"/>
      <c r="C150" s="5"/>
      <c r="D150" s="4">
        <f t="shared" si="16"/>
        <v>0</v>
      </c>
      <c r="E150" s="5"/>
      <c r="F150" s="5"/>
      <c r="G150" s="4">
        <f t="shared" si="17"/>
        <v>0</v>
      </c>
      <c r="H150" s="5"/>
      <c r="I150" s="5"/>
      <c r="J150" s="4">
        <f t="shared" si="18"/>
        <v>0</v>
      </c>
      <c r="K150" s="5"/>
      <c r="L150" s="5"/>
      <c r="M150" s="4">
        <f t="shared" si="19"/>
        <v>0</v>
      </c>
      <c r="N150" s="5"/>
      <c r="O150" s="5"/>
      <c r="P150" s="4">
        <f t="shared" si="20"/>
        <v>0</v>
      </c>
      <c r="Q150" s="4">
        <f t="shared" si="21"/>
        <v>0</v>
      </c>
      <c r="R150" s="4">
        <f t="shared" si="21"/>
        <v>0</v>
      </c>
      <c r="S150" s="4">
        <f t="shared" si="22"/>
        <v>0</v>
      </c>
    </row>
    <row r="151" spans="1:19" x14ac:dyDescent="0.25">
      <c r="A151" s="3" t="s">
        <v>321</v>
      </c>
      <c r="B151" s="4">
        <f>13062.04</f>
        <v>13062.04</v>
      </c>
      <c r="C151" s="4">
        <f>32816.26</f>
        <v>32816.26</v>
      </c>
      <c r="D151" s="4">
        <f t="shared" si="16"/>
        <v>-19754.22</v>
      </c>
      <c r="E151" s="4">
        <f>13388.8</f>
        <v>13388.8</v>
      </c>
      <c r="F151" s="4">
        <f>2668.38</f>
        <v>2668.38</v>
      </c>
      <c r="G151" s="4">
        <f t="shared" si="17"/>
        <v>10720.419999999998</v>
      </c>
      <c r="H151" s="4">
        <f>12449.61</f>
        <v>12449.61</v>
      </c>
      <c r="I151" s="4">
        <f>24412.64</f>
        <v>24412.639999999999</v>
      </c>
      <c r="J151" s="4">
        <f t="shared" si="18"/>
        <v>-11963.029999999999</v>
      </c>
      <c r="K151" s="4">
        <f>10683.2</f>
        <v>10683.2</v>
      </c>
      <c r="L151" s="4">
        <f>9856.23</f>
        <v>9856.23</v>
      </c>
      <c r="M151" s="4">
        <f t="shared" si="19"/>
        <v>826.97000000000116</v>
      </c>
      <c r="N151" s="4">
        <f>15570.41</f>
        <v>15570.41</v>
      </c>
      <c r="O151" s="4">
        <f>13411.14</f>
        <v>13411.14</v>
      </c>
      <c r="P151" s="4">
        <f t="shared" si="20"/>
        <v>2159.2700000000004</v>
      </c>
      <c r="Q151" s="4">
        <f t="shared" si="21"/>
        <v>65154.06</v>
      </c>
      <c r="R151" s="4">
        <f t="shared" si="21"/>
        <v>83164.649999999994</v>
      </c>
      <c r="S151" s="4">
        <f t="shared" si="22"/>
        <v>-18010.589999999997</v>
      </c>
    </row>
    <row r="152" spans="1:19" x14ac:dyDescent="0.25">
      <c r="A152" s="3" t="s">
        <v>322</v>
      </c>
      <c r="B152" s="4">
        <f>117.45</f>
        <v>117.45</v>
      </c>
      <c r="C152" s="4">
        <f>1860.23</f>
        <v>1860.23</v>
      </c>
      <c r="D152" s="4">
        <f t="shared" si="16"/>
        <v>-1742.78</v>
      </c>
      <c r="E152" s="4">
        <f>90</f>
        <v>90</v>
      </c>
      <c r="F152" s="4">
        <f>56</f>
        <v>56</v>
      </c>
      <c r="G152" s="4">
        <f t="shared" si="17"/>
        <v>34</v>
      </c>
      <c r="H152" s="4">
        <f>852</f>
        <v>852</v>
      </c>
      <c r="I152" s="4">
        <f>852</f>
        <v>852</v>
      </c>
      <c r="J152" s="4">
        <f t="shared" si="18"/>
        <v>0</v>
      </c>
      <c r="K152" s="4">
        <f>90</f>
        <v>90</v>
      </c>
      <c r="L152" s="4">
        <f>562.15</f>
        <v>562.15</v>
      </c>
      <c r="M152" s="4">
        <f t="shared" si="19"/>
        <v>-472.15</v>
      </c>
      <c r="N152" s="4">
        <f>90</f>
        <v>90</v>
      </c>
      <c r="O152" s="4">
        <f>3159.8</f>
        <v>3159.8</v>
      </c>
      <c r="P152" s="4">
        <f t="shared" si="20"/>
        <v>-3069.8</v>
      </c>
      <c r="Q152" s="4">
        <f t="shared" si="21"/>
        <v>1239.45</v>
      </c>
      <c r="R152" s="4">
        <f t="shared" si="21"/>
        <v>6490.18</v>
      </c>
      <c r="S152" s="4">
        <f t="shared" si="22"/>
        <v>-5250.7300000000005</v>
      </c>
    </row>
    <row r="153" spans="1:19" x14ac:dyDescent="0.25">
      <c r="A153" s="3" t="s">
        <v>323</v>
      </c>
      <c r="B153" s="4">
        <f>662</f>
        <v>662</v>
      </c>
      <c r="C153" s="4">
        <f>945</f>
        <v>945</v>
      </c>
      <c r="D153" s="4">
        <f t="shared" si="16"/>
        <v>-283</v>
      </c>
      <c r="E153" s="4">
        <f>1092</f>
        <v>1092</v>
      </c>
      <c r="F153" s="4">
        <f>1840.38</f>
        <v>1840.38</v>
      </c>
      <c r="G153" s="4">
        <f t="shared" si="17"/>
        <v>-748.38000000000011</v>
      </c>
      <c r="H153" s="4">
        <f>2442</f>
        <v>2442</v>
      </c>
      <c r="I153" s="4">
        <f>1881.46</f>
        <v>1881.46</v>
      </c>
      <c r="J153" s="4">
        <f t="shared" si="18"/>
        <v>560.54</v>
      </c>
      <c r="K153" s="4">
        <f>1092</f>
        <v>1092</v>
      </c>
      <c r="L153" s="4">
        <f>1733</f>
        <v>1733</v>
      </c>
      <c r="M153" s="4">
        <f t="shared" si="19"/>
        <v>-641</v>
      </c>
      <c r="N153" s="4">
        <f>1476</f>
        <v>1476</v>
      </c>
      <c r="O153" s="4">
        <f>1733</f>
        <v>1733</v>
      </c>
      <c r="P153" s="4">
        <f t="shared" si="20"/>
        <v>-257</v>
      </c>
      <c r="Q153" s="4">
        <f t="shared" si="21"/>
        <v>6764</v>
      </c>
      <c r="R153" s="4">
        <f t="shared" si="21"/>
        <v>8132.84</v>
      </c>
      <c r="S153" s="4">
        <f t="shared" si="22"/>
        <v>-1368.8400000000001</v>
      </c>
    </row>
    <row r="154" spans="1:19" x14ac:dyDescent="0.25">
      <c r="A154" s="3" t="s">
        <v>324</v>
      </c>
      <c r="B154" s="4">
        <f>418.81</f>
        <v>418.81</v>
      </c>
      <c r="C154" s="4">
        <f>3090.68</f>
        <v>3090.68</v>
      </c>
      <c r="D154" s="4">
        <f t="shared" si="16"/>
        <v>-2671.87</v>
      </c>
      <c r="E154" s="4">
        <f>2309.68</f>
        <v>2309.6799999999998</v>
      </c>
      <c r="F154" s="5"/>
      <c r="G154" s="4">
        <f t="shared" si="17"/>
        <v>2309.6799999999998</v>
      </c>
      <c r="H154" s="4">
        <f>684.63</f>
        <v>684.63</v>
      </c>
      <c r="I154" s="5"/>
      <c r="J154" s="4">
        <f t="shared" si="18"/>
        <v>684.63</v>
      </c>
      <c r="K154" s="4">
        <f>180.91</f>
        <v>180.91</v>
      </c>
      <c r="L154" s="5"/>
      <c r="M154" s="4">
        <f t="shared" si="19"/>
        <v>180.91</v>
      </c>
      <c r="N154" s="5"/>
      <c r="O154" s="5"/>
      <c r="P154" s="4">
        <f t="shared" si="20"/>
        <v>0</v>
      </c>
      <c r="Q154" s="4">
        <f t="shared" si="21"/>
        <v>3594.0299999999997</v>
      </c>
      <c r="R154" s="4">
        <f t="shared" si="21"/>
        <v>3090.68</v>
      </c>
      <c r="S154" s="4">
        <f t="shared" si="22"/>
        <v>503.34999999999991</v>
      </c>
    </row>
    <row r="155" spans="1:19" x14ac:dyDescent="0.25">
      <c r="A155" s="3" t="s">
        <v>325</v>
      </c>
      <c r="B155" s="4">
        <f>275</f>
        <v>275</v>
      </c>
      <c r="C155" s="5"/>
      <c r="D155" s="4">
        <f t="shared" si="16"/>
        <v>275</v>
      </c>
      <c r="E155" s="5"/>
      <c r="F155" s="4">
        <f>156.49</f>
        <v>156.49</v>
      </c>
      <c r="G155" s="4">
        <f t="shared" si="17"/>
        <v>-156.49</v>
      </c>
      <c r="H155" s="5"/>
      <c r="I155" s="5"/>
      <c r="J155" s="4">
        <f t="shared" si="18"/>
        <v>0</v>
      </c>
      <c r="K155" s="5"/>
      <c r="L155" s="4">
        <f>715.39</f>
        <v>715.39</v>
      </c>
      <c r="M155" s="4">
        <f t="shared" si="19"/>
        <v>-715.39</v>
      </c>
      <c r="N155" s="5"/>
      <c r="O155" s="5"/>
      <c r="P155" s="4">
        <f t="shared" si="20"/>
        <v>0</v>
      </c>
      <c r="Q155" s="4">
        <f t="shared" si="21"/>
        <v>275</v>
      </c>
      <c r="R155" s="4">
        <f t="shared" si="21"/>
        <v>871.88</v>
      </c>
      <c r="S155" s="4">
        <f t="shared" si="22"/>
        <v>-596.88</v>
      </c>
    </row>
    <row r="156" spans="1:19" x14ac:dyDescent="0.25">
      <c r="A156" s="3" t="s">
        <v>326</v>
      </c>
      <c r="B156" s="4">
        <f>4332.98</f>
        <v>4332.9799999999996</v>
      </c>
      <c r="C156" s="4">
        <f>10290.95</f>
        <v>10290.950000000001</v>
      </c>
      <c r="D156" s="4">
        <f t="shared" si="16"/>
        <v>-5957.9700000000012</v>
      </c>
      <c r="E156" s="4">
        <f>5357.28</f>
        <v>5357.28</v>
      </c>
      <c r="F156" s="4">
        <f>3026.38</f>
        <v>3026.38</v>
      </c>
      <c r="G156" s="4">
        <f t="shared" si="17"/>
        <v>2330.8999999999996</v>
      </c>
      <c r="H156" s="4">
        <f>4447.44</f>
        <v>4447.4399999999996</v>
      </c>
      <c r="I156" s="4">
        <f>6938.38</f>
        <v>6938.38</v>
      </c>
      <c r="J156" s="4">
        <f t="shared" si="18"/>
        <v>-2490.9400000000005</v>
      </c>
      <c r="K156" s="4">
        <f>1769.34</f>
        <v>1769.34</v>
      </c>
      <c r="L156" s="4">
        <f>1209.05</f>
        <v>1209.05</v>
      </c>
      <c r="M156" s="4">
        <f t="shared" si="19"/>
        <v>560.29</v>
      </c>
      <c r="N156" s="4">
        <f>1459.49</f>
        <v>1459.49</v>
      </c>
      <c r="O156" s="4">
        <f>600.38</f>
        <v>600.38</v>
      </c>
      <c r="P156" s="4">
        <f t="shared" si="20"/>
        <v>859.11</v>
      </c>
      <c r="Q156" s="4">
        <f t="shared" si="21"/>
        <v>17366.53</v>
      </c>
      <c r="R156" s="4">
        <f t="shared" si="21"/>
        <v>22065.140000000003</v>
      </c>
      <c r="S156" s="4">
        <f t="shared" si="22"/>
        <v>-4698.6100000000042</v>
      </c>
    </row>
    <row r="157" spans="1:19" x14ac:dyDescent="0.25">
      <c r="A157" s="3" t="s">
        <v>327</v>
      </c>
      <c r="B157" s="4">
        <f>450</f>
        <v>450</v>
      </c>
      <c r="C157" s="4">
        <f>872.24</f>
        <v>872.24</v>
      </c>
      <c r="D157" s="4">
        <f t="shared" si="16"/>
        <v>-422.24</v>
      </c>
      <c r="E157" s="4">
        <f>50</f>
        <v>50</v>
      </c>
      <c r="F157" s="4">
        <f>1232.6</f>
        <v>1232.5999999999999</v>
      </c>
      <c r="G157" s="4">
        <f t="shared" si="17"/>
        <v>-1182.5999999999999</v>
      </c>
      <c r="H157" s="5"/>
      <c r="I157" s="4">
        <f>-375.89</f>
        <v>-375.89</v>
      </c>
      <c r="J157" s="4">
        <f t="shared" si="18"/>
        <v>375.89</v>
      </c>
      <c r="K157" s="5"/>
      <c r="L157" s="4">
        <f>530.95</f>
        <v>530.95000000000005</v>
      </c>
      <c r="M157" s="4">
        <f t="shared" si="19"/>
        <v>-530.95000000000005</v>
      </c>
      <c r="N157" s="5"/>
      <c r="O157" s="4">
        <f>624.68</f>
        <v>624.67999999999995</v>
      </c>
      <c r="P157" s="4">
        <f t="shared" si="20"/>
        <v>-624.67999999999995</v>
      </c>
      <c r="Q157" s="4">
        <f t="shared" ref="Q157:R171" si="23">((((B157)+(E157))+(H157))+(K157))+(N157)</f>
        <v>500</v>
      </c>
      <c r="R157" s="4">
        <f t="shared" si="23"/>
        <v>2884.5800000000004</v>
      </c>
      <c r="S157" s="4">
        <f t="shared" si="22"/>
        <v>-2384.5800000000004</v>
      </c>
    </row>
    <row r="158" spans="1:19" x14ac:dyDescent="0.25">
      <c r="A158" s="3" t="s">
        <v>328</v>
      </c>
      <c r="B158" s="4">
        <f>160.28</f>
        <v>160.28</v>
      </c>
      <c r="C158" s="4">
        <f>656.29</f>
        <v>656.29</v>
      </c>
      <c r="D158" s="4">
        <f t="shared" si="16"/>
        <v>-496.01</v>
      </c>
      <c r="E158" s="4">
        <f>14.14</f>
        <v>14.14</v>
      </c>
      <c r="F158" s="4">
        <f>913.34</f>
        <v>913.34</v>
      </c>
      <c r="G158" s="4">
        <f t="shared" si="17"/>
        <v>-899.2</v>
      </c>
      <c r="H158" s="5"/>
      <c r="I158" s="4">
        <f>260.89</f>
        <v>260.89</v>
      </c>
      <c r="J158" s="4">
        <f t="shared" si="18"/>
        <v>-260.89</v>
      </c>
      <c r="K158" s="5"/>
      <c r="L158" s="4">
        <f>131.87</f>
        <v>131.87</v>
      </c>
      <c r="M158" s="4">
        <f t="shared" si="19"/>
        <v>-131.87</v>
      </c>
      <c r="N158" s="4">
        <f>1297.22</f>
        <v>1297.22</v>
      </c>
      <c r="O158" s="4">
        <f>612.85</f>
        <v>612.85</v>
      </c>
      <c r="P158" s="4">
        <f t="shared" si="20"/>
        <v>684.37</v>
      </c>
      <c r="Q158" s="4">
        <f t="shared" si="23"/>
        <v>1471.64</v>
      </c>
      <c r="R158" s="4">
        <f t="shared" si="23"/>
        <v>2575.2399999999998</v>
      </c>
      <c r="S158" s="4">
        <f t="shared" si="22"/>
        <v>-1103.5999999999997</v>
      </c>
    </row>
    <row r="159" spans="1:19" x14ac:dyDescent="0.25">
      <c r="A159" s="3" t="s">
        <v>329</v>
      </c>
      <c r="B159" s="6">
        <f>(((B155)+(B156))+(B157))+(B158)</f>
        <v>5218.2599999999993</v>
      </c>
      <c r="C159" s="6">
        <f>(((C155)+(C156))+(C157))+(C158)</f>
        <v>11819.48</v>
      </c>
      <c r="D159" s="6">
        <f t="shared" si="16"/>
        <v>-6601.22</v>
      </c>
      <c r="E159" s="6">
        <f>(((E155)+(E156))+(E157))+(E158)</f>
        <v>5421.42</v>
      </c>
      <c r="F159" s="6">
        <f>(((F155)+(F156))+(F157))+(F158)</f>
        <v>5328.8099999999995</v>
      </c>
      <c r="G159" s="6">
        <f t="shared" si="17"/>
        <v>92.610000000000582</v>
      </c>
      <c r="H159" s="6">
        <f>(((H155)+(H156))+(H157))+(H158)</f>
        <v>4447.4399999999996</v>
      </c>
      <c r="I159" s="6">
        <f>(((I155)+(I156))+(I157))+(I158)</f>
        <v>6823.38</v>
      </c>
      <c r="J159" s="6">
        <f t="shared" si="18"/>
        <v>-2375.9400000000005</v>
      </c>
      <c r="K159" s="6">
        <f>(((K155)+(K156))+(K157))+(K158)</f>
        <v>1769.34</v>
      </c>
      <c r="L159" s="6">
        <f>(((L155)+(L156))+(L157))+(L158)</f>
        <v>2587.2600000000002</v>
      </c>
      <c r="M159" s="6">
        <f t="shared" si="19"/>
        <v>-817.9200000000003</v>
      </c>
      <c r="N159" s="6">
        <f>(((N155)+(N156))+(N157))+(N158)</f>
        <v>2756.71</v>
      </c>
      <c r="O159" s="6">
        <f>(((O155)+(O156))+(O157))+(O158)</f>
        <v>1837.9099999999999</v>
      </c>
      <c r="P159" s="6">
        <f t="shared" si="20"/>
        <v>918.80000000000018</v>
      </c>
      <c r="Q159" s="6">
        <f t="shared" si="23"/>
        <v>19613.169999999998</v>
      </c>
      <c r="R159" s="6">
        <f t="shared" si="23"/>
        <v>28396.84</v>
      </c>
      <c r="S159" s="6">
        <f t="shared" si="22"/>
        <v>-8783.6700000000019</v>
      </c>
    </row>
    <row r="160" spans="1:19" x14ac:dyDescent="0.25">
      <c r="A160" s="3" t="s">
        <v>330</v>
      </c>
      <c r="B160" s="6">
        <f>(((((B150)+(B151))+(B152))+(B153))+(B154))+(B159)</f>
        <v>19478.560000000001</v>
      </c>
      <c r="C160" s="6">
        <f>(((((C150)+(C151))+(C152))+(C153))+(C154))+(C159)</f>
        <v>50531.650000000009</v>
      </c>
      <c r="D160" s="6">
        <f t="shared" si="16"/>
        <v>-31053.090000000007</v>
      </c>
      <c r="E160" s="6">
        <f>(((((E150)+(E151))+(E152))+(E153))+(E154))+(E159)</f>
        <v>22301.9</v>
      </c>
      <c r="F160" s="6">
        <f>(((((F150)+(F151))+(F152))+(F153))+(F154))+(F159)</f>
        <v>9893.57</v>
      </c>
      <c r="G160" s="6">
        <f t="shared" si="17"/>
        <v>12408.330000000002</v>
      </c>
      <c r="H160" s="6">
        <f>(((((H150)+(H151))+(H152))+(H153))+(H154))+(H159)</f>
        <v>20875.68</v>
      </c>
      <c r="I160" s="6">
        <f>(((((I150)+(I151))+(I152))+(I153))+(I154))+(I159)</f>
        <v>33969.479999999996</v>
      </c>
      <c r="J160" s="6">
        <f t="shared" si="18"/>
        <v>-13093.799999999996</v>
      </c>
      <c r="K160" s="6">
        <f>(((((K150)+(K151))+(K152))+(K153))+(K154))+(K159)</f>
        <v>13815.45</v>
      </c>
      <c r="L160" s="6">
        <f>(((((L150)+(L151))+(L152))+(L153))+(L154))+(L159)</f>
        <v>14738.64</v>
      </c>
      <c r="M160" s="6">
        <f t="shared" si="19"/>
        <v>-923.18999999999869</v>
      </c>
      <c r="N160" s="6">
        <f>(((((N150)+(N151))+(N152))+(N153))+(N154))+(N159)</f>
        <v>19893.12</v>
      </c>
      <c r="O160" s="6">
        <f>(((((O150)+(O151))+(O152))+(O153))+(O154))+(O159)</f>
        <v>20141.849999999999</v>
      </c>
      <c r="P160" s="6">
        <f t="shared" si="20"/>
        <v>-248.72999999999956</v>
      </c>
      <c r="Q160" s="6">
        <f t="shared" si="23"/>
        <v>96364.71</v>
      </c>
      <c r="R160" s="6">
        <f t="shared" si="23"/>
        <v>129275.19</v>
      </c>
      <c r="S160" s="6">
        <f t="shared" si="22"/>
        <v>-32910.479999999996</v>
      </c>
    </row>
    <row r="161" spans="1:19" x14ac:dyDescent="0.25">
      <c r="A161" s="3" t="s">
        <v>331</v>
      </c>
      <c r="B161" s="5"/>
      <c r="C161" s="5"/>
      <c r="D161" s="4">
        <f t="shared" si="16"/>
        <v>0</v>
      </c>
      <c r="E161" s="5"/>
      <c r="F161" s="5"/>
      <c r="G161" s="4">
        <f t="shared" si="17"/>
        <v>0</v>
      </c>
      <c r="H161" s="5"/>
      <c r="I161" s="5"/>
      <c r="J161" s="4">
        <f t="shared" si="18"/>
        <v>0</v>
      </c>
      <c r="K161" s="5"/>
      <c r="L161" s="5"/>
      <c r="M161" s="4">
        <f t="shared" si="19"/>
        <v>0</v>
      </c>
      <c r="N161" s="5"/>
      <c r="O161" s="5"/>
      <c r="P161" s="4">
        <f t="shared" si="20"/>
        <v>0</v>
      </c>
      <c r="Q161" s="4">
        <f t="shared" si="23"/>
        <v>0</v>
      </c>
      <c r="R161" s="4">
        <f t="shared" si="23"/>
        <v>0</v>
      </c>
      <c r="S161" s="4">
        <f t="shared" si="22"/>
        <v>0</v>
      </c>
    </row>
    <row r="162" spans="1:19" x14ac:dyDescent="0.25">
      <c r="A162" s="3" t="s">
        <v>332</v>
      </c>
      <c r="B162" s="4">
        <f>935.6</f>
        <v>935.6</v>
      </c>
      <c r="C162" s="4">
        <f>0</f>
        <v>0</v>
      </c>
      <c r="D162" s="4">
        <f t="shared" si="16"/>
        <v>935.6</v>
      </c>
      <c r="E162" s="4">
        <f>934.34</f>
        <v>934.34</v>
      </c>
      <c r="F162" s="4">
        <f>821.66</f>
        <v>821.66</v>
      </c>
      <c r="G162" s="4">
        <f t="shared" si="17"/>
        <v>112.68000000000006</v>
      </c>
      <c r="H162" s="4">
        <f>931.05</f>
        <v>931.05</v>
      </c>
      <c r="I162" s="4">
        <f>1590.52</f>
        <v>1590.52</v>
      </c>
      <c r="J162" s="4">
        <f t="shared" si="18"/>
        <v>-659.47</v>
      </c>
      <c r="K162" s="4">
        <f>2988.16</f>
        <v>2988.16</v>
      </c>
      <c r="L162" s="4">
        <f>838.51</f>
        <v>838.51</v>
      </c>
      <c r="M162" s="4">
        <f t="shared" si="19"/>
        <v>2149.6499999999996</v>
      </c>
      <c r="N162" s="4">
        <f>932.25</f>
        <v>932.25</v>
      </c>
      <c r="O162" s="4">
        <f>85.99</f>
        <v>85.99</v>
      </c>
      <c r="P162" s="4">
        <f t="shared" si="20"/>
        <v>846.26</v>
      </c>
      <c r="Q162" s="4">
        <f t="shared" si="23"/>
        <v>6721.4</v>
      </c>
      <c r="R162" s="4">
        <f t="shared" si="23"/>
        <v>3336.6799999999994</v>
      </c>
      <c r="S162" s="4">
        <f t="shared" si="22"/>
        <v>3384.7200000000003</v>
      </c>
    </row>
    <row r="163" spans="1:19" x14ac:dyDescent="0.25">
      <c r="A163" s="3" t="s">
        <v>333</v>
      </c>
      <c r="B163" s="4">
        <f>7688.46</f>
        <v>7688.46</v>
      </c>
      <c r="C163" s="4">
        <f>7874.7</f>
        <v>7874.7</v>
      </c>
      <c r="D163" s="4">
        <f t="shared" si="16"/>
        <v>-186.23999999999978</v>
      </c>
      <c r="E163" s="4">
        <f>7654.21</f>
        <v>7654.21</v>
      </c>
      <c r="F163" s="4">
        <f>7874.7</f>
        <v>7874.7</v>
      </c>
      <c r="G163" s="4">
        <f t="shared" si="17"/>
        <v>-220.48999999999978</v>
      </c>
      <c r="H163" s="4">
        <f>7383.61</f>
        <v>7383.61</v>
      </c>
      <c r="I163" s="4">
        <f>7597.75</f>
        <v>7597.75</v>
      </c>
      <c r="J163" s="4">
        <f t="shared" si="18"/>
        <v>-214.14000000000033</v>
      </c>
      <c r="K163" s="4">
        <f>8941.88</f>
        <v>8941.8799999999992</v>
      </c>
      <c r="L163" s="4">
        <f>7826.27</f>
        <v>7826.27</v>
      </c>
      <c r="M163" s="4">
        <f t="shared" si="19"/>
        <v>1115.6099999999988</v>
      </c>
      <c r="N163" s="4">
        <f>5995.73</f>
        <v>5995.73</v>
      </c>
      <c r="O163" s="4">
        <f>7826.27</f>
        <v>7826.27</v>
      </c>
      <c r="P163" s="4">
        <f t="shared" si="20"/>
        <v>-1830.5400000000009</v>
      </c>
      <c r="Q163" s="4">
        <f t="shared" si="23"/>
        <v>37663.89</v>
      </c>
      <c r="R163" s="4">
        <f t="shared" si="23"/>
        <v>38999.69</v>
      </c>
      <c r="S163" s="4">
        <f t="shared" si="22"/>
        <v>-1335.8000000000029</v>
      </c>
    </row>
    <row r="164" spans="1:19" x14ac:dyDescent="0.25">
      <c r="A164" s="3" t="s">
        <v>334</v>
      </c>
      <c r="B164" s="4">
        <f>19384.17</f>
        <v>19384.169999999998</v>
      </c>
      <c r="C164" s="4">
        <f>23152.68</f>
        <v>23152.68</v>
      </c>
      <c r="D164" s="4">
        <f t="shared" si="16"/>
        <v>-3768.510000000002</v>
      </c>
      <c r="E164" s="4">
        <f>19146.67</f>
        <v>19146.669999999998</v>
      </c>
      <c r="F164" s="4">
        <f>8817.06</f>
        <v>8817.06</v>
      </c>
      <c r="G164" s="4">
        <f t="shared" si="17"/>
        <v>10329.609999999999</v>
      </c>
      <c r="H164" s="4">
        <f>20964.75</f>
        <v>20964.75</v>
      </c>
      <c r="I164" s="4">
        <f>8817.06</f>
        <v>8817.06</v>
      </c>
      <c r="J164" s="4">
        <f t="shared" si="18"/>
        <v>12147.69</v>
      </c>
      <c r="K164" s="4">
        <f>20964.75</f>
        <v>20964.75</v>
      </c>
      <c r="L164" s="4">
        <f>8817.06</f>
        <v>8817.06</v>
      </c>
      <c r="M164" s="4">
        <f t="shared" si="19"/>
        <v>12147.69</v>
      </c>
      <c r="N164" s="4">
        <f>21019.62</f>
        <v>21019.62</v>
      </c>
      <c r="O164" s="4">
        <f>8817.06</f>
        <v>8817.06</v>
      </c>
      <c r="P164" s="4">
        <f t="shared" si="20"/>
        <v>12202.56</v>
      </c>
      <c r="Q164" s="4">
        <f t="shared" si="23"/>
        <v>101479.95999999999</v>
      </c>
      <c r="R164" s="4">
        <f t="shared" si="23"/>
        <v>58420.919999999991</v>
      </c>
      <c r="S164" s="4">
        <f t="shared" si="22"/>
        <v>43059.040000000001</v>
      </c>
    </row>
    <row r="165" spans="1:19" x14ac:dyDescent="0.25">
      <c r="A165" s="3" t="s">
        <v>362</v>
      </c>
      <c r="B165" s="5"/>
      <c r="C165" s="4">
        <f>165</f>
        <v>165</v>
      </c>
      <c r="D165" s="4">
        <f t="shared" si="16"/>
        <v>-165</v>
      </c>
      <c r="E165" s="5"/>
      <c r="F165" s="5"/>
      <c r="G165" s="4">
        <f t="shared" si="17"/>
        <v>0</v>
      </c>
      <c r="H165" s="5"/>
      <c r="I165" s="5"/>
      <c r="J165" s="4">
        <f t="shared" si="18"/>
        <v>0</v>
      </c>
      <c r="K165" s="5"/>
      <c r="L165" s="5"/>
      <c r="M165" s="4">
        <f t="shared" si="19"/>
        <v>0</v>
      </c>
      <c r="N165" s="5"/>
      <c r="O165" s="5"/>
      <c r="P165" s="4">
        <f t="shared" si="20"/>
        <v>0</v>
      </c>
      <c r="Q165" s="4">
        <f t="shared" si="23"/>
        <v>0</v>
      </c>
      <c r="R165" s="4">
        <f t="shared" si="23"/>
        <v>165</v>
      </c>
      <c r="S165" s="4">
        <f t="shared" si="22"/>
        <v>-165</v>
      </c>
    </row>
    <row r="166" spans="1:19" x14ac:dyDescent="0.25">
      <c r="A166" s="3" t="s">
        <v>335</v>
      </c>
      <c r="B166" s="4">
        <f>66.08</f>
        <v>66.08</v>
      </c>
      <c r="C166" s="4">
        <f>852.37</f>
        <v>852.37</v>
      </c>
      <c r="D166" s="4">
        <f t="shared" si="16"/>
        <v>-786.29</v>
      </c>
      <c r="E166" s="4">
        <f>129.9</f>
        <v>129.9</v>
      </c>
      <c r="F166" s="4">
        <f>359.88</f>
        <v>359.88</v>
      </c>
      <c r="G166" s="4">
        <f t="shared" si="17"/>
        <v>-229.98</v>
      </c>
      <c r="H166" s="5"/>
      <c r="I166" s="4">
        <f>1749.27</f>
        <v>1749.27</v>
      </c>
      <c r="J166" s="4">
        <f t="shared" si="18"/>
        <v>-1749.27</v>
      </c>
      <c r="K166" s="5"/>
      <c r="L166" s="4">
        <f>-104.13</f>
        <v>-104.13</v>
      </c>
      <c r="M166" s="4">
        <f t="shared" si="19"/>
        <v>104.13</v>
      </c>
      <c r="N166" s="5"/>
      <c r="O166" s="4">
        <f>3371.83</f>
        <v>3371.83</v>
      </c>
      <c r="P166" s="4">
        <f t="shared" si="20"/>
        <v>-3371.83</v>
      </c>
      <c r="Q166" s="4">
        <f t="shared" si="23"/>
        <v>195.98000000000002</v>
      </c>
      <c r="R166" s="4">
        <f t="shared" si="23"/>
        <v>6229.2199999999993</v>
      </c>
      <c r="S166" s="4">
        <f t="shared" si="22"/>
        <v>-6033.24</v>
      </c>
    </row>
    <row r="167" spans="1:19" x14ac:dyDescent="0.25">
      <c r="A167" s="3" t="s">
        <v>336</v>
      </c>
      <c r="B167" s="6">
        <f>(((((B161)+(B162))+(B163))+(B164))+(B165))+(B166)</f>
        <v>28074.309999999998</v>
      </c>
      <c r="C167" s="6">
        <f>(((((C161)+(C162))+(C163))+(C164))+(C165))+(C166)</f>
        <v>32044.75</v>
      </c>
      <c r="D167" s="6">
        <f t="shared" si="16"/>
        <v>-3970.4400000000023</v>
      </c>
      <c r="E167" s="6">
        <f>(((((E161)+(E162))+(E163))+(E164))+(E165))+(E166)</f>
        <v>27865.119999999999</v>
      </c>
      <c r="F167" s="6">
        <f>(((((F161)+(F162))+(F163))+(F164))+(F165))+(F166)</f>
        <v>17873.3</v>
      </c>
      <c r="G167" s="6">
        <f t="shared" si="17"/>
        <v>9991.82</v>
      </c>
      <c r="H167" s="6">
        <f>(((((H161)+(H162))+(H163))+(H164))+(H165))+(H166)</f>
        <v>29279.41</v>
      </c>
      <c r="I167" s="6">
        <f>(((((I161)+(I162))+(I163))+(I164))+(I165))+(I166)</f>
        <v>19754.600000000002</v>
      </c>
      <c r="J167" s="6">
        <f t="shared" si="18"/>
        <v>9524.8099999999977</v>
      </c>
      <c r="K167" s="6">
        <f>(((((K161)+(K162))+(K163))+(K164))+(K165))+(K166)</f>
        <v>32894.79</v>
      </c>
      <c r="L167" s="6">
        <f>(((((L161)+(L162))+(L163))+(L164))+(L165))+(L166)</f>
        <v>17377.71</v>
      </c>
      <c r="M167" s="6">
        <f t="shared" si="19"/>
        <v>15517.080000000002</v>
      </c>
      <c r="N167" s="6">
        <f>(((((N161)+(N162))+(N163))+(N164))+(N165))+(N166)</f>
        <v>27947.599999999999</v>
      </c>
      <c r="O167" s="6">
        <f>(((((O161)+(O162))+(O163))+(O164))+(O165))+(O166)</f>
        <v>20101.150000000001</v>
      </c>
      <c r="P167" s="6">
        <f t="shared" si="20"/>
        <v>7846.4499999999971</v>
      </c>
      <c r="Q167" s="6">
        <f t="shared" si="23"/>
        <v>146061.23000000001</v>
      </c>
      <c r="R167" s="6">
        <f t="shared" si="23"/>
        <v>107151.51000000001</v>
      </c>
      <c r="S167" s="6">
        <f t="shared" si="22"/>
        <v>38909.72</v>
      </c>
    </row>
    <row r="168" spans="1:19" x14ac:dyDescent="0.25">
      <c r="A168" s="3" t="s">
        <v>363</v>
      </c>
      <c r="B168" s="5"/>
      <c r="C168" s="5"/>
      <c r="D168" s="4">
        <f t="shared" si="16"/>
        <v>0</v>
      </c>
      <c r="E168" s="5"/>
      <c r="F168" s="5"/>
      <c r="G168" s="4">
        <f t="shared" si="17"/>
        <v>0</v>
      </c>
      <c r="H168" s="5"/>
      <c r="I168" s="5"/>
      <c r="J168" s="4">
        <f t="shared" si="18"/>
        <v>0</v>
      </c>
      <c r="K168" s="5"/>
      <c r="L168" s="5"/>
      <c r="M168" s="4">
        <f t="shared" si="19"/>
        <v>0</v>
      </c>
      <c r="N168" s="5"/>
      <c r="O168" s="4">
        <f>70</f>
        <v>70</v>
      </c>
      <c r="P168" s="4">
        <f t="shared" si="20"/>
        <v>-70</v>
      </c>
      <c r="Q168" s="4">
        <f t="shared" si="23"/>
        <v>0</v>
      </c>
      <c r="R168" s="4">
        <f t="shared" si="23"/>
        <v>70</v>
      </c>
      <c r="S168" s="4">
        <f t="shared" si="22"/>
        <v>-70</v>
      </c>
    </row>
    <row r="169" spans="1:19" x14ac:dyDescent="0.25">
      <c r="A169" s="3" t="s">
        <v>337</v>
      </c>
      <c r="B169" s="6">
        <f>(((((((((B73)+(B80))+(B96))+(B101))+(B127))+(B128))+(B149))+(B160))+(B167))+(B168)</f>
        <v>262106.44999999998</v>
      </c>
      <c r="C169" s="6">
        <f>(((((((((C73)+(C80))+(C96))+(C101))+(C127))+(C128))+(C149))+(C160))+(C167))+(C168)</f>
        <v>474861.17000000004</v>
      </c>
      <c r="D169" s="6">
        <f t="shared" si="16"/>
        <v>-212754.72000000006</v>
      </c>
      <c r="E169" s="6">
        <f>(((((((((E73)+(E80))+(E96))+(E101))+(E127))+(E128))+(E149))+(E160))+(E167))+(E168)</f>
        <v>254691.39</v>
      </c>
      <c r="F169" s="6">
        <f>(((((((((F73)+(F80))+(F96))+(F101))+(F127))+(F128))+(F149))+(F160))+(F167))+(F168)</f>
        <v>319012.36</v>
      </c>
      <c r="G169" s="6">
        <f t="shared" si="17"/>
        <v>-64320.969999999972</v>
      </c>
      <c r="H169" s="6">
        <f>(((((((((H73)+(H80))+(H96))+(H101))+(H127))+(H128))+(H149))+(H160))+(H167))+(H168)</f>
        <v>251731.41000000003</v>
      </c>
      <c r="I169" s="6">
        <f>(((((((((I73)+(I80))+(I96))+(I101))+(I127))+(I128))+(I149))+(I160))+(I167))+(I168)</f>
        <v>260638.25000000003</v>
      </c>
      <c r="J169" s="6">
        <f t="shared" si="18"/>
        <v>-8906.8399999999965</v>
      </c>
      <c r="K169" s="6">
        <f>(((((((((K73)+(K80))+(K96))+(K101))+(K127))+(K128))+(K149))+(K160))+(K167))+(K168)</f>
        <v>239561.71000000002</v>
      </c>
      <c r="L169" s="6">
        <f>(((((((((L73)+(L80))+(L96))+(L101))+(L127))+(L128))+(L149))+(L160))+(L167))+(L168)</f>
        <v>282977.45999999996</v>
      </c>
      <c r="M169" s="6">
        <f t="shared" si="19"/>
        <v>-43415.749999999942</v>
      </c>
      <c r="N169" s="6">
        <f>(((((((((N73)+(N80))+(N96))+(N101))+(N127))+(N128))+(N149))+(N160))+(N167))+(N168)</f>
        <v>333635.91999999993</v>
      </c>
      <c r="O169" s="6">
        <f>(((((((((O73)+(O80))+(O96))+(O101))+(O127))+(O128))+(O149))+(O160))+(O167))+(O168)</f>
        <v>286565.77</v>
      </c>
      <c r="P169" s="6">
        <f t="shared" si="20"/>
        <v>47070.149999999907</v>
      </c>
      <c r="Q169" s="6">
        <f t="shared" si="23"/>
        <v>1341726.8799999999</v>
      </c>
      <c r="R169" s="6">
        <f t="shared" si="23"/>
        <v>1624055.01</v>
      </c>
      <c r="S169" s="6">
        <f t="shared" si="22"/>
        <v>-282328.13000000012</v>
      </c>
    </row>
    <row r="170" spans="1:19" x14ac:dyDescent="0.25">
      <c r="A170" s="3" t="s">
        <v>338</v>
      </c>
      <c r="B170" s="6">
        <f>(B59)-(B169)</f>
        <v>2694.2200000000012</v>
      </c>
      <c r="C170" s="6">
        <f>(C59)-(C169)</f>
        <v>-134071.83000000007</v>
      </c>
      <c r="D170" s="6">
        <f t="shared" si="16"/>
        <v>136766.05000000008</v>
      </c>
      <c r="E170" s="6">
        <f>(E59)-(E169)</f>
        <v>15724.379999999946</v>
      </c>
      <c r="F170" s="6">
        <f>(F59)-(F169)</f>
        <v>-35714.939999999944</v>
      </c>
      <c r="G170" s="6">
        <f t="shared" si="17"/>
        <v>51439.319999999891</v>
      </c>
      <c r="H170" s="6">
        <f>(H59)-(H169)</f>
        <v>29311.599999999977</v>
      </c>
      <c r="I170" s="6">
        <f>(I59)-(I169)</f>
        <v>39663.629999999976</v>
      </c>
      <c r="J170" s="6">
        <f t="shared" si="18"/>
        <v>-10352.029999999999</v>
      </c>
      <c r="K170" s="6">
        <f>(K59)-(K169)</f>
        <v>25865.77999999997</v>
      </c>
      <c r="L170" s="6">
        <f>(L59)-(L169)</f>
        <v>72857.330000000016</v>
      </c>
      <c r="M170" s="6">
        <f t="shared" si="19"/>
        <v>-46991.550000000047</v>
      </c>
      <c r="N170" s="6">
        <f>(N59)-(N169)</f>
        <v>-73267.269999999931</v>
      </c>
      <c r="O170" s="6">
        <f>(O59)-(O169)</f>
        <v>41778.699999999953</v>
      </c>
      <c r="P170" s="6">
        <f t="shared" si="20"/>
        <v>-115045.96999999988</v>
      </c>
      <c r="Q170" s="6">
        <f t="shared" si="23"/>
        <v>328.70999999996275</v>
      </c>
      <c r="R170" s="6">
        <f t="shared" si="23"/>
        <v>-15487.110000000073</v>
      </c>
      <c r="S170" s="6">
        <f t="shared" si="22"/>
        <v>15815.820000000036</v>
      </c>
    </row>
    <row r="171" spans="1:19" x14ac:dyDescent="0.25">
      <c r="A171" s="3" t="s">
        <v>339</v>
      </c>
      <c r="B171" s="6">
        <f>(B170)+(0)</f>
        <v>2694.2200000000012</v>
      </c>
      <c r="C171" s="6">
        <f>(C170)+(0)</f>
        <v>-134071.83000000007</v>
      </c>
      <c r="D171" s="6">
        <f t="shared" si="16"/>
        <v>136766.05000000008</v>
      </c>
      <c r="E171" s="6">
        <f>(E170)+(0)</f>
        <v>15724.379999999946</v>
      </c>
      <c r="F171" s="6">
        <f>(F170)+(0)</f>
        <v>-35714.939999999944</v>
      </c>
      <c r="G171" s="6">
        <f t="shared" si="17"/>
        <v>51439.319999999891</v>
      </c>
      <c r="H171" s="6">
        <f>(H170)+(0)</f>
        <v>29311.599999999977</v>
      </c>
      <c r="I171" s="6">
        <f>(I170)+(0)</f>
        <v>39663.629999999976</v>
      </c>
      <c r="J171" s="6">
        <f t="shared" si="18"/>
        <v>-10352.029999999999</v>
      </c>
      <c r="K171" s="6">
        <f>(K170)+(0)</f>
        <v>25865.77999999997</v>
      </c>
      <c r="L171" s="6">
        <f>(L170)+(0)</f>
        <v>72857.330000000016</v>
      </c>
      <c r="M171" s="6">
        <f t="shared" si="19"/>
        <v>-46991.550000000047</v>
      </c>
      <c r="N171" s="6">
        <f>(N170)+(0)</f>
        <v>-73267.269999999931</v>
      </c>
      <c r="O171" s="6">
        <f>(O170)+(0)</f>
        <v>41778.699999999953</v>
      </c>
      <c r="P171" s="6">
        <f t="shared" si="20"/>
        <v>-115045.96999999988</v>
      </c>
      <c r="Q171" s="6">
        <f t="shared" si="23"/>
        <v>328.70999999996275</v>
      </c>
      <c r="R171" s="6">
        <f t="shared" si="23"/>
        <v>-15487.110000000073</v>
      </c>
      <c r="S171" s="6">
        <f t="shared" si="22"/>
        <v>15815.820000000036</v>
      </c>
    </row>
    <row r="172" spans="1:19" x14ac:dyDescent="0.25">
      <c r="A172" s="3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5" spans="1:19" x14ac:dyDescent="0.25">
      <c r="A175" s="19" t="s">
        <v>364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</row>
  </sheetData>
  <mergeCells count="10">
    <mergeCell ref="A175:S175"/>
    <mergeCell ref="A1:S1"/>
    <mergeCell ref="A2:S2"/>
    <mergeCell ref="A3:S3"/>
    <mergeCell ref="B5:D5"/>
    <mergeCell ref="E5:G5"/>
    <mergeCell ref="H5:J5"/>
    <mergeCell ref="K5:M5"/>
    <mergeCell ref="N5:P5"/>
    <mergeCell ref="Q5:S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58989-4FA8-4D25-A59D-EF8EAC7FFE43}">
  <dimension ref="A1:D118"/>
  <sheetViews>
    <sheetView workbookViewId="0">
      <selection sqref="A1:D1"/>
    </sheetView>
  </sheetViews>
  <sheetFormatPr defaultRowHeight="15" x14ac:dyDescent="0.25"/>
  <cols>
    <col min="1" max="1" width="55" customWidth="1"/>
    <col min="2" max="4" width="12" customWidth="1"/>
  </cols>
  <sheetData>
    <row r="1" spans="1:4" ht="18" x14ac:dyDescent="0.25">
      <c r="A1" s="16" t="s">
        <v>147</v>
      </c>
      <c r="B1" s="17"/>
      <c r="C1" s="17"/>
      <c r="D1" s="17"/>
    </row>
    <row r="2" spans="1:4" ht="18" x14ac:dyDescent="0.25">
      <c r="A2" s="16" t="s">
        <v>365</v>
      </c>
      <c r="B2" s="17"/>
      <c r="C2" s="17"/>
      <c r="D2" s="17"/>
    </row>
    <row r="3" spans="1:4" x14ac:dyDescent="0.25">
      <c r="A3" s="18" t="s">
        <v>149</v>
      </c>
      <c r="B3" s="17"/>
      <c r="C3" s="17"/>
      <c r="D3" s="17"/>
    </row>
    <row r="5" spans="1:4" x14ac:dyDescent="0.25">
      <c r="A5" s="1"/>
      <c r="B5" s="23" t="s">
        <v>156</v>
      </c>
      <c r="C5" s="24"/>
      <c r="D5" s="24"/>
    </row>
    <row r="6" spans="1:4" ht="24.75" x14ac:dyDescent="0.25">
      <c r="A6" s="1"/>
      <c r="B6" s="2" t="s">
        <v>366</v>
      </c>
      <c r="C6" s="2" t="s">
        <v>367</v>
      </c>
      <c r="D6" s="2" t="s">
        <v>342</v>
      </c>
    </row>
    <row r="7" spans="1:4" x14ac:dyDescent="0.25">
      <c r="A7" s="3" t="s">
        <v>368</v>
      </c>
      <c r="B7" s="5"/>
      <c r="C7" s="5"/>
      <c r="D7" s="5"/>
    </row>
    <row r="8" spans="1:4" x14ac:dyDescent="0.25">
      <c r="A8" s="3" t="s">
        <v>369</v>
      </c>
      <c r="B8" s="5"/>
      <c r="C8" s="5"/>
      <c r="D8" s="5"/>
    </row>
    <row r="9" spans="1:4" x14ac:dyDescent="0.25">
      <c r="A9" s="3" t="s">
        <v>370</v>
      </c>
      <c r="B9" s="5"/>
      <c r="C9" s="5"/>
      <c r="D9" s="5"/>
    </row>
    <row r="10" spans="1:4" x14ac:dyDescent="0.25">
      <c r="A10" s="3" t="s">
        <v>371</v>
      </c>
      <c r="B10" s="5"/>
      <c r="C10" s="5"/>
      <c r="D10" s="4">
        <f t="shared" ref="D10:D26" si="0">(B10)-(C10)</f>
        <v>0</v>
      </c>
    </row>
    <row r="11" spans="1:4" x14ac:dyDescent="0.25">
      <c r="A11" s="3" t="s">
        <v>372</v>
      </c>
      <c r="B11" s="4">
        <f>304022.25</f>
        <v>304022.25</v>
      </c>
      <c r="C11" s="4">
        <f>244460.19</f>
        <v>244460.19</v>
      </c>
      <c r="D11" s="4">
        <f t="shared" si="0"/>
        <v>59562.06</v>
      </c>
    </row>
    <row r="12" spans="1:4" x14ac:dyDescent="0.25">
      <c r="A12" s="3" t="s">
        <v>373</v>
      </c>
      <c r="B12" s="4">
        <f>215.41</f>
        <v>215.41</v>
      </c>
      <c r="C12" s="4">
        <f>275.24</f>
        <v>275.24</v>
      </c>
      <c r="D12" s="4">
        <f t="shared" si="0"/>
        <v>-59.830000000000013</v>
      </c>
    </row>
    <row r="13" spans="1:4" x14ac:dyDescent="0.25">
      <c r="A13" s="3" t="s">
        <v>374</v>
      </c>
      <c r="B13" s="4">
        <f>0</f>
        <v>0</v>
      </c>
      <c r="C13" s="4">
        <f>5172.1</f>
        <v>5172.1000000000004</v>
      </c>
      <c r="D13" s="4">
        <f t="shared" si="0"/>
        <v>-5172.1000000000004</v>
      </c>
    </row>
    <row r="14" spans="1:4" x14ac:dyDescent="0.25">
      <c r="A14" s="3" t="s">
        <v>375</v>
      </c>
      <c r="B14" s="4">
        <f>42514.24</f>
        <v>42514.239999999998</v>
      </c>
      <c r="C14" s="4">
        <f>45865.99</f>
        <v>45865.99</v>
      </c>
      <c r="D14" s="4">
        <f t="shared" si="0"/>
        <v>-3351.75</v>
      </c>
    </row>
    <row r="15" spans="1:4" x14ac:dyDescent="0.25">
      <c r="A15" s="3" t="s">
        <v>376</v>
      </c>
      <c r="B15" s="4">
        <f>22358.62</f>
        <v>22358.62</v>
      </c>
      <c r="C15" s="4">
        <f>10837.36</f>
        <v>10837.36</v>
      </c>
      <c r="D15" s="4">
        <f t="shared" si="0"/>
        <v>11521.259999999998</v>
      </c>
    </row>
    <row r="16" spans="1:4" x14ac:dyDescent="0.25">
      <c r="A16" s="3" t="s">
        <v>377</v>
      </c>
      <c r="B16" s="4">
        <f>539.75</f>
        <v>539.75</v>
      </c>
      <c r="C16" s="4">
        <f>879.75</f>
        <v>879.75</v>
      </c>
      <c r="D16" s="4">
        <f t="shared" si="0"/>
        <v>-340</v>
      </c>
    </row>
    <row r="17" spans="1:4" x14ac:dyDescent="0.25">
      <c r="A17" s="3" t="s">
        <v>378</v>
      </c>
      <c r="B17" s="4">
        <f>0</f>
        <v>0</v>
      </c>
      <c r="C17" s="4">
        <f>0</f>
        <v>0</v>
      </c>
      <c r="D17" s="4">
        <f t="shared" si="0"/>
        <v>0</v>
      </c>
    </row>
    <row r="18" spans="1:4" x14ac:dyDescent="0.25">
      <c r="A18" s="3" t="s">
        <v>379</v>
      </c>
      <c r="B18" s="6">
        <f>(((((((B10)+(B11))+(B12))+(B13))+(B14))+(B15))+(B16))+(B17)</f>
        <v>369650.26999999996</v>
      </c>
      <c r="C18" s="6">
        <f>(((((((C10)+(C11))+(C12))+(C13))+(C14))+(C15))+(C16))+(C17)</f>
        <v>307490.63</v>
      </c>
      <c r="D18" s="6">
        <f t="shared" si="0"/>
        <v>62159.639999999956</v>
      </c>
    </row>
    <row r="19" spans="1:4" x14ac:dyDescent="0.25">
      <c r="A19" s="3" t="s">
        <v>380</v>
      </c>
      <c r="B19" s="5"/>
      <c r="C19" s="5"/>
      <c r="D19" s="4">
        <f t="shared" si="0"/>
        <v>0</v>
      </c>
    </row>
    <row r="20" spans="1:4" x14ac:dyDescent="0.25">
      <c r="A20" s="3" t="s">
        <v>381</v>
      </c>
      <c r="B20" s="4">
        <f>51755.23</f>
        <v>51755.23</v>
      </c>
      <c r="C20" s="4">
        <f>213736.86</f>
        <v>213736.86</v>
      </c>
      <c r="D20" s="4">
        <f t="shared" si="0"/>
        <v>-161981.62999999998</v>
      </c>
    </row>
    <row r="21" spans="1:4" x14ac:dyDescent="0.25">
      <c r="A21" s="3" t="s">
        <v>382</v>
      </c>
      <c r="B21" s="6">
        <f>(B19)+(B20)</f>
        <v>51755.23</v>
      </c>
      <c r="C21" s="6">
        <f>(C19)+(C20)</f>
        <v>213736.86</v>
      </c>
      <c r="D21" s="6">
        <f t="shared" si="0"/>
        <v>-161981.62999999998</v>
      </c>
    </row>
    <row r="22" spans="1:4" x14ac:dyDescent="0.25">
      <c r="A22" s="3" t="s">
        <v>383</v>
      </c>
      <c r="B22" s="4">
        <f>0</f>
        <v>0</v>
      </c>
      <c r="C22" s="4">
        <f>0</f>
        <v>0</v>
      </c>
      <c r="D22" s="4">
        <f t="shared" si="0"/>
        <v>0</v>
      </c>
    </row>
    <row r="23" spans="1:4" x14ac:dyDescent="0.25">
      <c r="A23" s="3" t="s">
        <v>384</v>
      </c>
      <c r="B23" s="4">
        <f>50</f>
        <v>50</v>
      </c>
      <c r="C23" s="4">
        <f>50</f>
        <v>50</v>
      </c>
      <c r="D23" s="4">
        <f t="shared" si="0"/>
        <v>0</v>
      </c>
    </row>
    <row r="24" spans="1:4" x14ac:dyDescent="0.25">
      <c r="A24" s="3" t="s">
        <v>385</v>
      </c>
      <c r="B24" s="4">
        <f>200</f>
        <v>200</v>
      </c>
      <c r="C24" s="4">
        <f>0</f>
        <v>0</v>
      </c>
      <c r="D24" s="4">
        <f t="shared" si="0"/>
        <v>200</v>
      </c>
    </row>
    <row r="25" spans="1:4" x14ac:dyDescent="0.25">
      <c r="A25" s="3" t="s">
        <v>386</v>
      </c>
      <c r="B25" s="6">
        <f>((B22)+(B23))+(B24)</f>
        <v>250</v>
      </c>
      <c r="C25" s="6">
        <f>((C22)+(C23))+(C24)</f>
        <v>50</v>
      </c>
      <c r="D25" s="6">
        <f t="shared" si="0"/>
        <v>200</v>
      </c>
    </row>
    <row r="26" spans="1:4" x14ac:dyDescent="0.25">
      <c r="A26" s="3" t="s">
        <v>387</v>
      </c>
      <c r="B26" s="6">
        <f>((B18)+(B21))+(B25)</f>
        <v>421655.49999999994</v>
      </c>
      <c r="C26" s="6">
        <f>((C18)+(C21))+(C25)</f>
        <v>521277.49</v>
      </c>
      <c r="D26" s="6">
        <f t="shared" si="0"/>
        <v>-99621.990000000049</v>
      </c>
    </row>
    <row r="27" spans="1:4" x14ac:dyDescent="0.25">
      <c r="A27" s="3" t="s">
        <v>388</v>
      </c>
      <c r="B27" s="5"/>
      <c r="C27" s="5"/>
      <c r="D27" s="5"/>
    </row>
    <row r="28" spans="1:4" x14ac:dyDescent="0.25">
      <c r="A28" s="3" t="s">
        <v>389</v>
      </c>
      <c r="B28" s="4">
        <f>774337.01</f>
        <v>774337.01</v>
      </c>
      <c r="C28" s="4">
        <f>1532596.22</f>
        <v>1532596.22</v>
      </c>
      <c r="D28" s="4">
        <f>(B28)-(C28)</f>
        <v>-758259.21</v>
      </c>
    </row>
    <row r="29" spans="1:4" x14ac:dyDescent="0.25">
      <c r="A29" s="3" t="s">
        <v>390</v>
      </c>
      <c r="B29" s="4">
        <f>0</f>
        <v>0</v>
      </c>
      <c r="C29" s="4">
        <f>0</f>
        <v>0</v>
      </c>
      <c r="D29" s="4">
        <f>(B29)-(C29)</f>
        <v>0</v>
      </c>
    </row>
    <row r="30" spans="1:4" x14ac:dyDescent="0.25">
      <c r="A30" s="3" t="s">
        <v>391</v>
      </c>
      <c r="B30" s="4">
        <f>0</f>
        <v>0</v>
      </c>
      <c r="C30" s="4">
        <f>0</f>
        <v>0</v>
      </c>
      <c r="D30" s="4">
        <f>(B30)-(C30)</f>
        <v>0</v>
      </c>
    </row>
    <row r="31" spans="1:4" x14ac:dyDescent="0.25">
      <c r="A31" s="3" t="s">
        <v>392</v>
      </c>
      <c r="B31" s="6">
        <f>((B28)+(B29))+(B30)</f>
        <v>774337.01</v>
      </c>
      <c r="C31" s="6">
        <f>((C28)+(C29))+(C30)</f>
        <v>1532596.22</v>
      </c>
      <c r="D31" s="6">
        <f>(B31)-(C31)</f>
        <v>-758259.21</v>
      </c>
    </row>
    <row r="32" spans="1:4" x14ac:dyDescent="0.25">
      <c r="A32" s="3" t="s">
        <v>393</v>
      </c>
      <c r="B32" s="6">
        <f>B31</f>
        <v>774337.01</v>
      </c>
      <c r="C32" s="6">
        <f>C31</f>
        <v>1532596.22</v>
      </c>
      <c r="D32" s="6">
        <f>(B32)-(C32)</f>
        <v>-758259.21</v>
      </c>
    </row>
    <row r="33" spans="1:4" x14ac:dyDescent="0.25">
      <c r="A33" s="3" t="s">
        <v>394</v>
      </c>
      <c r="B33" s="5"/>
      <c r="C33" s="5"/>
      <c r="D33" s="5"/>
    </row>
    <row r="34" spans="1:4" x14ac:dyDescent="0.25">
      <c r="A34" s="3" t="s">
        <v>395</v>
      </c>
      <c r="B34" s="5"/>
      <c r="C34" s="5"/>
      <c r="D34" s="4">
        <f t="shared" ref="D34:D40" si="1">(B34)-(C34)</f>
        <v>0</v>
      </c>
    </row>
    <row r="35" spans="1:4" x14ac:dyDescent="0.25">
      <c r="A35" s="3" t="s">
        <v>396</v>
      </c>
      <c r="B35" s="4">
        <f>35164.48</f>
        <v>35164.480000000003</v>
      </c>
      <c r="C35" s="4">
        <f>42580.15</f>
        <v>42580.15</v>
      </c>
      <c r="D35" s="4">
        <f t="shared" si="1"/>
        <v>-7415.6699999999983</v>
      </c>
    </row>
    <row r="36" spans="1:4" x14ac:dyDescent="0.25">
      <c r="A36" s="3" t="s">
        <v>397</v>
      </c>
      <c r="B36" s="6">
        <f>(B34)+(B35)</f>
        <v>35164.480000000003</v>
      </c>
      <c r="C36" s="6">
        <f>(C34)+(C35)</f>
        <v>42580.15</v>
      </c>
      <c r="D36" s="6">
        <f t="shared" si="1"/>
        <v>-7415.6699999999983</v>
      </c>
    </row>
    <row r="37" spans="1:4" x14ac:dyDescent="0.25">
      <c r="A37" s="3" t="s">
        <v>398</v>
      </c>
      <c r="B37" s="4">
        <f>0</f>
        <v>0</v>
      </c>
      <c r="C37" s="4">
        <f>0</f>
        <v>0</v>
      </c>
      <c r="D37" s="4">
        <f t="shared" si="1"/>
        <v>0</v>
      </c>
    </row>
    <row r="38" spans="1:4" x14ac:dyDescent="0.25">
      <c r="A38" s="3" t="s">
        <v>399</v>
      </c>
      <c r="B38" s="4">
        <f>0</f>
        <v>0</v>
      </c>
      <c r="C38" s="4">
        <f>150</f>
        <v>150</v>
      </c>
      <c r="D38" s="4">
        <f t="shared" si="1"/>
        <v>-150</v>
      </c>
    </row>
    <row r="39" spans="1:4" x14ac:dyDescent="0.25">
      <c r="A39" s="3" t="s">
        <v>400</v>
      </c>
      <c r="B39" s="6">
        <f>((B36)+(B37))+(B38)</f>
        <v>35164.480000000003</v>
      </c>
      <c r="C39" s="6">
        <f>((C36)+(C37))+(C38)</f>
        <v>42730.15</v>
      </c>
      <c r="D39" s="6">
        <f t="shared" si="1"/>
        <v>-7565.6699999999983</v>
      </c>
    </row>
    <row r="40" spans="1:4" x14ac:dyDescent="0.25">
      <c r="A40" s="3" t="s">
        <v>401</v>
      </c>
      <c r="B40" s="6">
        <f>((B26)+(B32))+(B39)</f>
        <v>1231156.99</v>
      </c>
      <c r="C40" s="6">
        <f>((C26)+(C32))+(C39)</f>
        <v>2096603.8599999999</v>
      </c>
      <c r="D40" s="6">
        <f t="shared" si="1"/>
        <v>-865446.86999999988</v>
      </c>
    </row>
    <row r="41" spans="1:4" x14ac:dyDescent="0.25">
      <c r="A41" s="3" t="s">
        <v>402</v>
      </c>
      <c r="B41" s="5"/>
      <c r="C41" s="5"/>
      <c r="D41" s="5"/>
    </row>
    <row r="42" spans="1:4" x14ac:dyDescent="0.25">
      <c r="A42" s="3" t="s">
        <v>403</v>
      </c>
      <c r="B42" s="5"/>
      <c r="C42" s="5"/>
      <c r="D42" s="4">
        <f t="shared" ref="D42:D57" si="2">(B42)-(C42)</f>
        <v>0</v>
      </c>
    </row>
    <row r="43" spans="1:4" x14ac:dyDescent="0.25">
      <c r="A43" s="3" t="s">
        <v>404</v>
      </c>
      <c r="B43" s="4">
        <f>195439.03</f>
        <v>195439.03</v>
      </c>
      <c r="C43" s="4">
        <f>193464.03</f>
        <v>193464.03</v>
      </c>
      <c r="D43" s="4">
        <f t="shared" si="2"/>
        <v>1975</v>
      </c>
    </row>
    <row r="44" spans="1:4" x14ac:dyDescent="0.25">
      <c r="A44" s="3" t="s">
        <v>405</v>
      </c>
      <c r="B44" s="4">
        <f>96964</f>
        <v>96964</v>
      </c>
      <c r="C44" s="4">
        <f>92364</f>
        <v>92364</v>
      </c>
      <c r="D44" s="4">
        <f t="shared" si="2"/>
        <v>4600</v>
      </c>
    </row>
    <row r="45" spans="1:4" x14ac:dyDescent="0.25">
      <c r="A45" s="3" t="s">
        <v>406</v>
      </c>
      <c r="B45" s="4">
        <f>514690.24</f>
        <v>514690.24</v>
      </c>
      <c r="C45" s="4">
        <f>514690.24</f>
        <v>514690.24</v>
      </c>
      <c r="D45" s="4">
        <f t="shared" si="2"/>
        <v>0</v>
      </c>
    </row>
    <row r="46" spans="1:4" x14ac:dyDescent="0.25">
      <c r="A46" s="3" t="s">
        <v>407</v>
      </c>
      <c r="B46" s="4">
        <f>190967</f>
        <v>190967</v>
      </c>
      <c r="C46" s="4">
        <f>190967</f>
        <v>190967</v>
      </c>
      <c r="D46" s="4">
        <f t="shared" si="2"/>
        <v>0</v>
      </c>
    </row>
    <row r="47" spans="1:4" x14ac:dyDescent="0.25">
      <c r="A47" s="3" t="s">
        <v>408</v>
      </c>
      <c r="B47" s="4">
        <f>2412000</f>
        <v>2412000</v>
      </c>
      <c r="C47" s="4">
        <f>2412000</f>
        <v>2412000</v>
      </c>
      <c r="D47" s="4">
        <f t="shared" si="2"/>
        <v>0</v>
      </c>
    </row>
    <row r="48" spans="1:4" x14ac:dyDescent="0.25">
      <c r="A48" s="3" t="s">
        <v>409</v>
      </c>
      <c r="B48" s="4">
        <f>3426546.97</f>
        <v>3426546.97</v>
      </c>
      <c r="C48" s="4">
        <f>3426546.97</f>
        <v>3426546.97</v>
      </c>
      <c r="D48" s="4">
        <f t="shared" si="2"/>
        <v>0</v>
      </c>
    </row>
    <row r="49" spans="1:4" x14ac:dyDescent="0.25">
      <c r="A49" s="3" t="s">
        <v>410</v>
      </c>
      <c r="B49" s="4">
        <f>-146890.38</f>
        <v>-146890.38</v>
      </c>
      <c r="C49" s="4">
        <f>-133084.87</f>
        <v>-133084.87</v>
      </c>
      <c r="D49" s="4">
        <f t="shared" si="2"/>
        <v>-13805.510000000009</v>
      </c>
    </row>
    <row r="50" spans="1:4" x14ac:dyDescent="0.25">
      <c r="A50" s="3" t="s">
        <v>411</v>
      </c>
      <c r="B50" s="4">
        <f>-81945.55</f>
        <v>-81945.55</v>
      </c>
      <c r="C50" s="4">
        <f>-80199.7</f>
        <v>-80199.7</v>
      </c>
      <c r="D50" s="4">
        <f t="shared" si="2"/>
        <v>-1745.8500000000058</v>
      </c>
    </row>
    <row r="51" spans="1:4" x14ac:dyDescent="0.25">
      <c r="A51" s="3" t="s">
        <v>412</v>
      </c>
      <c r="B51" s="4">
        <f>-253308.99</f>
        <v>-253308.99</v>
      </c>
      <c r="C51" s="4">
        <f>-236378.79</f>
        <v>-236378.79</v>
      </c>
      <c r="D51" s="4">
        <f t="shared" si="2"/>
        <v>-16930.199999999983</v>
      </c>
    </row>
    <row r="52" spans="1:4" x14ac:dyDescent="0.25">
      <c r="A52" s="3" t="s">
        <v>413</v>
      </c>
      <c r="B52" s="4">
        <f>-1311010.41</f>
        <v>-1311010.4099999999</v>
      </c>
      <c r="C52" s="4">
        <f>-1294044.61</f>
        <v>-1294044.6100000001</v>
      </c>
      <c r="D52" s="4">
        <f t="shared" si="2"/>
        <v>-16965.799999999814</v>
      </c>
    </row>
    <row r="53" spans="1:4" x14ac:dyDescent="0.25">
      <c r="A53" s="3" t="s">
        <v>414</v>
      </c>
      <c r="B53" s="4">
        <f>-724052.92</f>
        <v>-724052.92</v>
      </c>
      <c r="C53" s="4">
        <f>-688261.97</f>
        <v>-688261.97</v>
      </c>
      <c r="D53" s="4">
        <f t="shared" si="2"/>
        <v>-35790.95000000007</v>
      </c>
    </row>
    <row r="54" spans="1:4" x14ac:dyDescent="0.25">
      <c r="A54" s="3" t="s">
        <v>415</v>
      </c>
      <c r="B54" s="4">
        <f>-59937.84</f>
        <v>-59937.84</v>
      </c>
      <c r="C54" s="4">
        <f>-56569.59</f>
        <v>-56569.59</v>
      </c>
      <c r="D54" s="4">
        <f t="shared" si="2"/>
        <v>-3368.25</v>
      </c>
    </row>
    <row r="55" spans="1:4" x14ac:dyDescent="0.25">
      <c r="A55" s="3" t="s">
        <v>416</v>
      </c>
      <c r="B55" s="4">
        <f>-47939.3</f>
        <v>-47939.3</v>
      </c>
      <c r="C55" s="4">
        <f>-35065.9</f>
        <v>-35065.9</v>
      </c>
      <c r="D55" s="4">
        <f t="shared" si="2"/>
        <v>-12873.400000000001</v>
      </c>
    </row>
    <row r="56" spans="1:4" x14ac:dyDescent="0.25">
      <c r="A56" s="3" t="s">
        <v>417</v>
      </c>
      <c r="B56" s="6">
        <f>(((((((((((((B42)+(B43))+(B44))+(B45))+(B46))+(B47))+(B48))+(B49))+(B50))+(B51))+(B52))+(B53))+(B54))+(B55)</f>
        <v>4211521.8500000006</v>
      </c>
      <c r="C56" s="6">
        <f>(((((((((((((C42)+(C43))+(C44))+(C45))+(C46))+(C47))+(C48))+(C49))+(C50))+(C51))+(C52))+(C53))+(C54))+(C55)</f>
        <v>4306426.8099999996</v>
      </c>
      <c r="D56" s="6">
        <f t="shared" si="2"/>
        <v>-94904.959999999031</v>
      </c>
    </row>
    <row r="57" spans="1:4" x14ac:dyDescent="0.25">
      <c r="A57" s="3" t="s">
        <v>418</v>
      </c>
      <c r="B57" s="6">
        <f>B56</f>
        <v>4211521.8500000006</v>
      </c>
      <c r="C57" s="6">
        <f>C56</f>
        <v>4306426.8099999996</v>
      </c>
      <c r="D57" s="6">
        <f t="shared" si="2"/>
        <v>-94904.959999999031</v>
      </c>
    </row>
    <row r="58" spans="1:4" x14ac:dyDescent="0.25">
      <c r="A58" s="3" t="s">
        <v>419</v>
      </c>
      <c r="B58" s="5"/>
      <c r="C58" s="5"/>
      <c r="D58" s="5"/>
    </row>
    <row r="59" spans="1:4" x14ac:dyDescent="0.25">
      <c r="A59" s="3" t="s">
        <v>420</v>
      </c>
      <c r="B59" s="4">
        <f>49328.14</f>
        <v>49328.14</v>
      </c>
      <c r="C59" s="4">
        <f>49328.14</f>
        <v>49328.14</v>
      </c>
      <c r="D59" s="4">
        <f>(B59)-(C59)</f>
        <v>0</v>
      </c>
    </row>
    <row r="60" spans="1:4" x14ac:dyDescent="0.25">
      <c r="A60" s="3" t="s">
        <v>421</v>
      </c>
      <c r="B60" s="4">
        <f>119901</f>
        <v>119901</v>
      </c>
      <c r="C60" s="4">
        <f>51870</f>
        <v>51870</v>
      </c>
      <c r="D60" s="4">
        <f>(B60)-(C60)</f>
        <v>68031</v>
      </c>
    </row>
    <row r="61" spans="1:4" x14ac:dyDescent="0.25">
      <c r="A61" s="3" t="s">
        <v>422</v>
      </c>
      <c r="B61" s="6">
        <f>(B59)+(B60)</f>
        <v>169229.14</v>
      </c>
      <c r="C61" s="6">
        <f>(C59)+(C60)</f>
        <v>101198.14</v>
      </c>
      <c r="D61" s="6">
        <f>(B61)-(C61)</f>
        <v>68031.000000000015</v>
      </c>
    </row>
    <row r="62" spans="1:4" x14ac:dyDescent="0.25">
      <c r="A62" s="3" t="s">
        <v>423</v>
      </c>
      <c r="B62" s="6">
        <f>((B40)+(B57))+(B61)</f>
        <v>5611907.9800000004</v>
      </c>
      <c r="C62" s="6">
        <f>((C40)+(C57))+(C61)</f>
        <v>6504228.8099999996</v>
      </c>
      <c r="D62" s="6">
        <f>(B62)-(C62)</f>
        <v>-892320.82999999914</v>
      </c>
    </row>
    <row r="63" spans="1:4" x14ac:dyDescent="0.25">
      <c r="A63" s="3" t="s">
        <v>424</v>
      </c>
      <c r="B63" s="5"/>
      <c r="C63" s="5"/>
      <c r="D63" s="5"/>
    </row>
    <row r="64" spans="1:4" x14ac:dyDescent="0.25">
      <c r="A64" s="3" t="s">
        <v>425</v>
      </c>
      <c r="B64" s="5"/>
      <c r="C64" s="5"/>
      <c r="D64" s="5"/>
    </row>
    <row r="65" spans="1:4" x14ac:dyDescent="0.25">
      <c r="A65" s="3" t="s">
        <v>426</v>
      </c>
      <c r="B65" s="5"/>
      <c r="C65" s="5"/>
      <c r="D65" s="5"/>
    </row>
    <row r="66" spans="1:4" x14ac:dyDescent="0.25">
      <c r="A66" s="3" t="s">
        <v>427</v>
      </c>
      <c r="B66" s="5"/>
      <c r="C66" s="5"/>
      <c r="D66" s="5"/>
    </row>
    <row r="67" spans="1:4" x14ac:dyDescent="0.25">
      <c r="A67" s="3" t="s">
        <v>428</v>
      </c>
      <c r="B67" s="4">
        <f>41619.97</f>
        <v>41619.97</v>
      </c>
      <c r="C67" s="4">
        <f>64502.28</f>
        <v>64502.28</v>
      </c>
      <c r="D67" s="4">
        <f>(B67)-(C67)</f>
        <v>-22882.309999999998</v>
      </c>
    </row>
    <row r="68" spans="1:4" x14ac:dyDescent="0.25">
      <c r="A68" s="3" t="s">
        <v>429</v>
      </c>
      <c r="B68" s="6">
        <f>B67</f>
        <v>41619.97</v>
      </c>
      <c r="C68" s="6">
        <f>C67</f>
        <v>64502.28</v>
      </c>
      <c r="D68" s="6">
        <f>(B68)-(C68)</f>
        <v>-22882.309999999998</v>
      </c>
    </row>
    <row r="69" spans="1:4" x14ac:dyDescent="0.25">
      <c r="A69" s="3" t="s">
        <v>430</v>
      </c>
      <c r="B69" s="5"/>
      <c r="C69" s="5"/>
      <c r="D69" s="5"/>
    </row>
    <row r="70" spans="1:4" x14ac:dyDescent="0.25">
      <c r="A70" s="3" t="s">
        <v>431</v>
      </c>
      <c r="B70" s="5"/>
      <c r="C70" s="5"/>
      <c r="D70" s="4">
        <f t="shared" ref="D70:D91" si="3">(B70)-(C70)</f>
        <v>0</v>
      </c>
    </row>
    <row r="71" spans="1:4" x14ac:dyDescent="0.25">
      <c r="A71" s="3" t="s">
        <v>432</v>
      </c>
      <c r="B71" s="4">
        <f>36600</f>
        <v>36600</v>
      </c>
      <c r="C71" s="4">
        <f>21600</f>
        <v>21600</v>
      </c>
      <c r="D71" s="4">
        <f t="shared" si="3"/>
        <v>15000</v>
      </c>
    </row>
    <row r="72" spans="1:4" x14ac:dyDescent="0.25">
      <c r="A72" s="3" t="s">
        <v>433</v>
      </c>
      <c r="B72" s="4">
        <f>0</f>
        <v>0</v>
      </c>
      <c r="C72" s="4">
        <f>0</f>
        <v>0</v>
      </c>
      <c r="D72" s="4">
        <f t="shared" si="3"/>
        <v>0</v>
      </c>
    </row>
    <row r="73" spans="1:4" x14ac:dyDescent="0.25">
      <c r="A73" s="3" t="s">
        <v>434</v>
      </c>
      <c r="B73" s="4">
        <f>-212.26</f>
        <v>-212.26</v>
      </c>
      <c r="C73" s="4">
        <f>0</f>
        <v>0</v>
      </c>
      <c r="D73" s="4">
        <f t="shared" si="3"/>
        <v>-212.26</v>
      </c>
    </row>
    <row r="74" spans="1:4" x14ac:dyDescent="0.25">
      <c r="A74" s="3" t="s">
        <v>435</v>
      </c>
      <c r="B74" s="4">
        <f>4081.37</f>
        <v>4081.37</v>
      </c>
      <c r="C74" s="4">
        <f>0</f>
        <v>0</v>
      </c>
      <c r="D74" s="4">
        <f t="shared" si="3"/>
        <v>4081.37</v>
      </c>
    </row>
    <row r="75" spans="1:4" x14ac:dyDescent="0.25">
      <c r="A75" s="3" t="s">
        <v>436</v>
      </c>
      <c r="B75" s="4">
        <f>0</f>
        <v>0</v>
      </c>
      <c r="C75" s="4">
        <f>0</f>
        <v>0</v>
      </c>
      <c r="D75" s="4">
        <f t="shared" si="3"/>
        <v>0</v>
      </c>
    </row>
    <row r="76" spans="1:4" x14ac:dyDescent="0.25">
      <c r="A76" s="3" t="s">
        <v>437</v>
      </c>
      <c r="B76" s="4">
        <f>0</f>
        <v>0</v>
      </c>
      <c r="C76" s="4">
        <f>0</f>
        <v>0</v>
      </c>
      <c r="D76" s="4">
        <f t="shared" si="3"/>
        <v>0</v>
      </c>
    </row>
    <row r="77" spans="1:4" x14ac:dyDescent="0.25">
      <c r="A77" s="3" t="s">
        <v>438</v>
      </c>
      <c r="B77" s="6">
        <f>((((B72)+(B73))+(B74))+(B75))+(B76)</f>
        <v>3869.1099999999997</v>
      </c>
      <c r="C77" s="6">
        <f>((((C72)+(C73))+(C74))+(C75))+(C76)</f>
        <v>0</v>
      </c>
      <c r="D77" s="6">
        <f t="shared" si="3"/>
        <v>3869.1099999999997</v>
      </c>
    </row>
    <row r="78" spans="1:4" x14ac:dyDescent="0.25">
      <c r="A78" s="3" t="s">
        <v>439</v>
      </c>
      <c r="B78" s="5"/>
      <c r="C78" s="5"/>
      <c r="D78" s="4">
        <f t="shared" si="3"/>
        <v>0</v>
      </c>
    </row>
    <row r="79" spans="1:4" x14ac:dyDescent="0.25">
      <c r="A79" s="3" t="s">
        <v>440</v>
      </c>
      <c r="B79" s="4">
        <f>0</f>
        <v>0</v>
      </c>
      <c r="C79" s="4">
        <f>0</f>
        <v>0</v>
      </c>
      <c r="D79" s="4">
        <f t="shared" si="3"/>
        <v>0</v>
      </c>
    </row>
    <row r="80" spans="1:4" x14ac:dyDescent="0.25">
      <c r="A80" s="3" t="s">
        <v>441</v>
      </c>
      <c r="B80" s="6">
        <f>(B78)+(B79)</f>
        <v>0</v>
      </c>
      <c r="C80" s="6">
        <f>(C78)+(C79)</f>
        <v>0</v>
      </c>
      <c r="D80" s="6">
        <f t="shared" si="3"/>
        <v>0</v>
      </c>
    </row>
    <row r="81" spans="1:4" x14ac:dyDescent="0.25">
      <c r="A81" s="3" t="s">
        <v>442</v>
      </c>
      <c r="B81" s="5"/>
      <c r="C81" s="5"/>
      <c r="D81" s="4">
        <f t="shared" si="3"/>
        <v>0</v>
      </c>
    </row>
    <row r="82" spans="1:4" x14ac:dyDescent="0.25">
      <c r="A82" s="3" t="s">
        <v>443</v>
      </c>
      <c r="B82" s="4">
        <f>881085.12</f>
        <v>881085.12</v>
      </c>
      <c r="C82" s="4">
        <f>1684296.04</f>
        <v>1684296.04</v>
      </c>
      <c r="D82" s="4">
        <f t="shared" si="3"/>
        <v>-803210.92</v>
      </c>
    </row>
    <row r="83" spans="1:4" x14ac:dyDescent="0.25">
      <c r="A83" s="3" t="s">
        <v>444</v>
      </c>
      <c r="B83" s="4">
        <f>85032.99</f>
        <v>85032.99</v>
      </c>
      <c r="C83" s="4">
        <f>173426.99</f>
        <v>173426.99</v>
      </c>
      <c r="D83" s="4">
        <f t="shared" si="3"/>
        <v>-88393.999999999985</v>
      </c>
    </row>
    <row r="84" spans="1:4" x14ac:dyDescent="0.25">
      <c r="A84" s="3" t="s">
        <v>445</v>
      </c>
      <c r="B84" s="6">
        <f>((B81)+(B82))+(B83)</f>
        <v>966118.11</v>
      </c>
      <c r="C84" s="6">
        <f>((C81)+(C82))+(C83)</f>
        <v>1857723.03</v>
      </c>
      <c r="D84" s="6">
        <f t="shared" si="3"/>
        <v>-891604.92</v>
      </c>
    </row>
    <row r="85" spans="1:4" x14ac:dyDescent="0.25">
      <c r="A85" s="3" t="s">
        <v>446</v>
      </c>
      <c r="B85" s="4">
        <f>0</f>
        <v>0</v>
      </c>
      <c r="C85" s="4">
        <f>1448</f>
        <v>1448</v>
      </c>
      <c r="D85" s="4">
        <f t="shared" si="3"/>
        <v>-1448</v>
      </c>
    </row>
    <row r="86" spans="1:4" x14ac:dyDescent="0.25">
      <c r="A86" s="3" t="s">
        <v>447</v>
      </c>
      <c r="B86" s="4">
        <f>41000</f>
        <v>41000</v>
      </c>
      <c r="C86" s="4">
        <f>36000</f>
        <v>36000</v>
      </c>
      <c r="D86" s="4">
        <f t="shared" si="3"/>
        <v>5000</v>
      </c>
    </row>
    <row r="87" spans="1:4" x14ac:dyDescent="0.25">
      <c r="A87" s="3" t="s">
        <v>448</v>
      </c>
      <c r="B87" s="4">
        <f>20833.29</f>
        <v>20833.29</v>
      </c>
      <c r="C87" s="4">
        <f>14577</f>
        <v>14577</v>
      </c>
      <c r="D87" s="4">
        <f t="shared" si="3"/>
        <v>6256.2900000000009</v>
      </c>
    </row>
    <row r="88" spans="1:4" x14ac:dyDescent="0.25">
      <c r="A88" s="3" t="s">
        <v>449</v>
      </c>
      <c r="B88" s="6">
        <f>(((((((B70)+(B71))+(B77))+(B80))+(B84))+(B85))+(B86))+(B87)</f>
        <v>1068420.51</v>
      </c>
      <c r="C88" s="6">
        <f>(((((((C70)+(C71))+(C77))+(C80))+(C84))+(C85))+(C86))+(C87)</f>
        <v>1931348.03</v>
      </c>
      <c r="D88" s="6">
        <f t="shared" si="3"/>
        <v>-862927.52</v>
      </c>
    </row>
    <row r="89" spans="1:4" x14ac:dyDescent="0.25">
      <c r="A89" s="3" t="s">
        <v>450</v>
      </c>
      <c r="B89" s="4">
        <f>-21847.18</f>
        <v>-21847.18</v>
      </c>
      <c r="C89" s="4">
        <f>-21847.18</f>
        <v>-21847.18</v>
      </c>
      <c r="D89" s="4">
        <f t="shared" si="3"/>
        <v>0</v>
      </c>
    </row>
    <row r="90" spans="1:4" x14ac:dyDescent="0.25">
      <c r="A90" s="3" t="s">
        <v>451</v>
      </c>
      <c r="B90" s="6">
        <f>(B88)+(B89)</f>
        <v>1046573.33</v>
      </c>
      <c r="C90" s="6">
        <f>(C88)+(C89)</f>
        <v>1909500.85</v>
      </c>
      <c r="D90" s="6">
        <f t="shared" si="3"/>
        <v>-862927.52000000014</v>
      </c>
    </row>
    <row r="91" spans="1:4" x14ac:dyDescent="0.25">
      <c r="A91" s="3" t="s">
        <v>452</v>
      </c>
      <c r="B91" s="6">
        <f>(B68)+(B90)</f>
        <v>1088193.3</v>
      </c>
      <c r="C91" s="6">
        <f>(C68)+(C90)</f>
        <v>1974003.1300000001</v>
      </c>
      <c r="D91" s="6">
        <f t="shared" si="3"/>
        <v>-885809.83000000007</v>
      </c>
    </row>
    <row r="92" spans="1:4" x14ac:dyDescent="0.25">
      <c r="A92" s="3" t="s">
        <v>453</v>
      </c>
      <c r="B92" s="5"/>
      <c r="C92" s="5"/>
      <c r="D92" s="5"/>
    </row>
    <row r="93" spans="1:4" x14ac:dyDescent="0.25">
      <c r="A93" s="3" t="s">
        <v>454</v>
      </c>
      <c r="B93" s="5"/>
      <c r="C93" s="5"/>
      <c r="D93" s="4">
        <f t="shared" ref="D93:D105" si="4">(B93)-(C93)</f>
        <v>0</v>
      </c>
    </row>
    <row r="94" spans="1:4" x14ac:dyDescent="0.25">
      <c r="A94" s="3" t="s">
        <v>455</v>
      </c>
      <c r="B94" s="5"/>
      <c r="C94" s="5"/>
      <c r="D94" s="4">
        <f t="shared" si="4"/>
        <v>0</v>
      </c>
    </row>
    <row r="95" spans="1:4" x14ac:dyDescent="0.25">
      <c r="A95" s="3" t="s">
        <v>456</v>
      </c>
      <c r="B95" s="4">
        <f>-30340</f>
        <v>-30340</v>
      </c>
      <c r="C95" s="4">
        <f>-30340</f>
        <v>-30340</v>
      </c>
      <c r="D95" s="4">
        <f t="shared" si="4"/>
        <v>0</v>
      </c>
    </row>
    <row r="96" spans="1:4" x14ac:dyDescent="0.25">
      <c r="A96" s="3" t="s">
        <v>457</v>
      </c>
      <c r="B96" s="4">
        <f>344000</f>
        <v>344000</v>
      </c>
      <c r="C96" s="4">
        <f>361500</f>
        <v>361500</v>
      </c>
      <c r="D96" s="4">
        <f t="shared" si="4"/>
        <v>-17500</v>
      </c>
    </row>
    <row r="97" spans="1:4" x14ac:dyDescent="0.25">
      <c r="A97" s="3" t="s">
        <v>458</v>
      </c>
      <c r="B97" s="4">
        <f>2045195.88</f>
        <v>2045195.88</v>
      </c>
      <c r="C97" s="4">
        <f>2078989.54</f>
        <v>2078989.54</v>
      </c>
      <c r="D97" s="4">
        <f t="shared" si="4"/>
        <v>-33793.660000000149</v>
      </c>
    </row>
    <row r="98" spans="1:4" x14ac:dyDescent="0.25">
      <c r="A98" s="3" t="s">
        <v>459</v>
      </c>
      <c r="B98" s="4">
        <f>495694</f>
        <v>495694</v>
      </c>
      <c r="C98" s="4">
        <f>495694</f>
        <v>495694</v>
      </c>
      <c r="D98" s="4">
        <f t="shared" si="4"/>
        <v>0</v>
      </c>
    </row>
    <row r="99" spans="1:4" x14ac:dyDescent="0.25">
      <c r="A99" s="3" t="s">
        <v>460</v>
      </c>
      <c r="B99" s="6">
        <f>((((B94)+(B95))+(B96))+(B97))+(B98)</f>
        <v>2854549.88</v>
      </c>
      <c r="C99" s="6">
        <f>((((C94)+(C95))+(C96))+(C97))+(C98)</f>
        <v>2905843.54</v>
      </c>
      <c r="D99" s="6">
        <f t="shared" si="4"/>
        <v>-51293.660000000149</v>
      </c>
    </row>
    <row r="100" spans="1:4" x14ac:dyDescent="0.25">
      <c r="A100" s="3" t="s">
        <v>461</v>
      </c>
      <c r="B100" s="5"/>
      <c r="C100" s="5"/>
      <c r="D100" s="4">
        <f t="shared" si="4"/>
        <v>0</v>
      </c>
    </row>
    <row r="101" spans="1:4" x14ac:dyDescent="0.25">
      <c r="A101" s="3" t="s">
        <v>462</v>
      </c>
      <c r="B101" s="4">
        <f>44453.95</f>
        <v>44453.95</v>
      </c>
      <c r="C101" s="4">
        <f>0</f>
        <v>0</v>
      </c>
      <c r="D101" s="4">
        <f t="shared" si="4"/>
        <v>44453.95</v>
      </c>
    </row>
    <row r="102" spans="1:4" x14ac:dyDescent="0.25">
      <c r="A102" s="3" t="s">
        <v>463</v>
      </c>
      <c r="B102" s="6">
        <f>(B100)+(B101)</f>
        <v>44453.95</v>
      </c>
      <c r="C102" s="6">
        <f>(C100)+(C101)</f>
        <v>0</v>
      </c>
      <c r="D102" s="6">
        <f t="shared" si="4"/>
        <v>44453.95</v>
      </c>
    </row>
    <row r="103" spans="1:4" x14ac:dyDescent="0.25">
      <c r="A103" s="3" t="s">
        <v>464</v>
      </c>
      <c r="B103" s="6">
        <f>((B93)+(B99))+(B102)</f>
        <v>2899003.83</v>
      </c>
      <c r="C103" s="6">
        <f>((C93)+(C99))+(C102)</f>
        <v>2905843.54</v>
      </c>
      <c r="D103" s="6">
        <f t="shared" si="4"/>
        <v>-6839.7099999999627</v>
      </c>
    </row>
    <row r="104" spans="1:4" x14ac:dyDescent="0.25">
      <c r="A104" s="3" t="s">
        <v>465</v>
      </c>
      <c r="B104" s="6">
        <f>B103</f>
        <v>2899003.83</v>
      </c>
      <c r="C104" s="6">
        <f>C103</f>
        <v>2905843.54</v>
      </c>
      <c r="D104" s="6">
        <f t="shared" si="4"/>
        <v>-6839.7099999999627</v>
      </c>
    </row>
    <row r="105" spans="1:4" x14ac:dyDescent="0.25">
      <c r="A105" s="3" t="s">
        <v>466</v>
      </c>
      <c r="B105" s="6">
        <f>(B91)+(B104)</f>
        <v>3987197.13</v>
      </c>
      <c r="C105" s="6">
        <f>(C91)+(C104)</f>
        <v>4879846.67</v>
      </c>
      <c r="D105" s="6">
        <f t="shared" si="4"/>
        <v>-892649.54</v>
      </c>
    </row>
    <row r="106" spans="1:4" x14ac:dyDescent="0.25">
      <c r="A106" s="3" t="s">
        <v>467</v>
      </c>
      <c r="B106" s="5"/>
      <c r="C106" s="5"/>
      <c r="D106" s="5"/>
    </row>
    <row r="107" spans="1:4" x14ac:dyDescent="0.25">
      <c r="A107" s="3" t="s">
        <v>468</v>
      </c>
      <c r="B107" s="4">
        <f>-675160.75</f>
        <v>-675160.75</v>
      </c>
      <c r="C107" s="4">
        <f>-675160.75</f>
        <v>-675160.75</v>
      </c>
      <c r="D107" s="4">
        <f t="shared" ref="D107:D114" si="5">(B107)-(C107)</f>
        <v>0</v>
      </c>
    </row>
    <row r="108" spans="1:4" x14ac:dyDescent="0.25">
      <c r="A108" s="3" t="s">
        <v>469</v>
      </c>
      <c r="B108" s="4">
        <f>52170.38</f>
        <v>52170.38</v>
      </c>
      <c r="C108" s="4">
        <f>52170.38</f>
        <v>52170.38</v>
      </c>
      <c r="D108" s="4">
        <f t="shared" si="5"/>
        <v>0</v>
      </c>
    </row>
    <row r="109" spans="1:4" x14ac:dyDescent="0.25">
      <c r="A109" s="3" t="s">
        <v>470</v>
      </c>
      <c r="B109" s="4">
        <f>1136298.41</f>
        <v>1136298.4099999999</v>
      </c>
      <c r="C109" s="4">
        <f>1136298.41</f>
        <v>1136298.4099999999</v>
      </c>
      <c r="D109" s="4">
        <f t="shared" si="5"/>
        <v>0</v>
      </c>
    </row>
    <row r="110" spans="1:4" x14ac:dyDescent="0.25">
      <c r="A110" s="3" t="s">
        <v>471</v>
      </c>
      <c r="B110" s="4">
        <f>0</f>
        <v>0</v>
      </c>
      <c r="C110" s="4">
        <f>0</f>
        <v>0</v>
      </c>
      <c r="D110" s="4">
        <f t="shared" si="5"/>
        <v>0</v>
      </c>
    </row>
    <row r="111" spans="1:4" x14ac:dyDescent="0.25">
      <c r="A111" s="3" t="s">
        <v>472</v>
      </c>
      <c r="B111" s="4">
        <f>1111074.1</f>
        <v>1111074.1000000001</v>
      </c>
      <c r="C111" s="4">
        <f>1111074.1</f>
        <v>1111074.1000000001</v>
      </c>
      <c r="D111" s="4">
        <f t="shared" si="5"/>
        <v>0</v>
      </c>
    </row>
    <row r="112" spans="1:4" x14ac:dyDescent="0.25">
      <c r="A112" s="3" t="s">
        <v>473</v>
      </c>
      <c r="B112" s="4">
        <f>328.71</f>
        <v>328.71</v>
      </c>
      <c r="C112" s="5"/>
      <c r="D112" s="4">
        <f t="shared" si="5"/>
        <v>328.71</v>
      </c>
    </row>
    <row r="113" spans="1:4" x14ac:dyDescent="0.25">
      <c r="A113" s="3" t="s">
        <v>474</v>
      </c>
      <c r="B113" s="6">
        <f>(((((B107)+(B108))+(B109))+(B110))+(B111))+(B112)</f>
        <v>1624710.85</v>
      </c>
      <c r="C113" s="6">
        <f>(((((C107)+(C108))+(C109))+(C110))+(C111))+(C112)</f>
        <v>1624382.1400000001</v>
      </c>
      <c r="D113" s="6">
        <f t="shared" si="5"/>
        <v>328.70999999996275</v>
      </c>
    </row>
    <row r="114" spans="1:4" x14ac:dyDescent="0.25">
      <c r="A114" s="3" t="s">
        <v>475</v>
      </c>
      <c r="B114" s="6">
        <f>(B105)+(B113)</f>
        <v>5611907.9800000004</v>
      </c>
      <c r="C114" s="6">
        <f>(C105)+(C113)</f>
        <v>6504228.8100000005</v>
      </c>
      <c r="D114" s="6">
        <f t="shared" si="5"/>
        <v>-892320.83000000007</v>
      </c>
    </row>
    <row r="115" spans="1:4" x14ac:dyDescent="0.25">
      <c r="A115" s="3"/>
      <c r="B115" s="5"/>
      <c r="C115" s="5"/>
      <c r="D115" s="5"/>
    </row>
    <row r="118" spans="1:4" x14ac:dyDescent="0.25">
      <c r="A118" s="19" t="s">
        <v>476</v>
      </c>
      <c r="B118" s="17"/>
      <c r="C118" s="17"/>
      <c r="D118" s="17"/>
    </row>
  </sheetData>
  <mergeCells count="5">
    <mergeCell ref="A1:D1"/>
    <mergeCell ref="A2:D2"/>
    <mergeCell ref="A3:D3"/>
    <mergeCell ref="B5:D5"/>
    <mergeCell ref="A118:D1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B32C0-0E92-46C4-8238-5FEF77034CF0}">
  <dimension ref="A1:B49"/>
  <sheetViews>
    <sheetView workbookViewId="0">
      <selection sqref="A1:B1"/>
    </sheetView>
  </sheetViews>
  <sheetFormatPr defaultRowHeight="15" x14ac:dyDescent="0.25"/>
  <cols>
    <col min="1" max="1" width="81.5703125" customWidth="1"/>
    <col min="2" max="2" width="24" customWidth="1"/>
  </cols>
  <sheetData>
    <row r="1" spans="1:2" ht="18" x14ac:dyDescent="0.25">
      <c r="A1" s="16" t="s">
        <v>147</v>
      </c>
      <c r="B1" s="17"/>
    </row>
    <row r="2" spans="1:2" ht="18" x14ac:dyDescent="0.25">
      <c r="A2" s="16" t="s">
        <v>477</v>
      </c>
      <c r="B2" s="17"/>
    </row>
    <row r="3" spans="1:2" x14ac:dyDescent="0.25">
      <c r="A3" s="18" t="s">
        <v>185</v>
      </c>
      <c r="B3" s="17"/>
    </row>
    <row r="5" spans="1:2" x14ac:dyDescent="0.25">
      <c r="A5" s="1"/>
      <c r="B5" s="2" t="s">
        <v>156</v>
      </c>
    </row>
    <row r="6" spans="1:2" x14ac:dyDescent="0.25">
      <c r="A6" s="3" t="s">
        <v>478</v>
      </c>
      <c r="B6" s="5"/>
    </row>
    <row r="7" spans="1:2" x14ac:dyDescent="0.25">
      <c r="A7" s="3" t="s">
        <v>479</v>
      </c>
      <c r="B7" s="4">
        <f>328.71</f>
        <v>328.71</v>
      </c>
    </row>
    <row r="8" spans="1:2" x14ac:dyDescent="0.25">
      <c r="A8" s="3" t="s">
        <v>480</v>
      </c>
      <c r="B8" s="5"/>
    </row>
    <row r="9" spans="1:2" x14ac:dyDescent="0.25">
      <c r="A9" s="3" t="s">
        <v>481</v>
      </c>
      <c r="B9" s="4">
        <f>758259.21</f>
        <v>758259.21</v>
      </c>
    </row>
    <row r="10" spans="1:2" x14ac:dyDescent="0.25">
      <c r="A10" s="3" t="s">
        <v>482</v>
      </c>
      <c r="B10" s="4">
        <f>7415.67</f>
        <v>7415.67</v>
      </c>
    </row>
    <row r="11" spans="1:2" x14ac:dyDescent="0.25">
      <c r="A11" s="3" t="s">
        <v>483</v>
      </c>
      <c r="B11" s="4">
        <f>13805.51</f>
        <v>13805.51</v>
      </c>
    </row>
    <row r="12" spans="1:2" x14ac:dyDescent="0.25">
      <c r="A12" s="3" t="s">
        <v>484</v>
      </c>
      <c r="B12" s="4">
        <f>16930.2</f>
        <v>16930.2</v>
      </c>
    </row>
    <row r="13" spans="1:2" x14ac:dyDescent="0.25">
      <c r="A13" s="3" t="s">
        <v>485</v>
      </c>
      <c r="B13" s="4">
        <f>1745.85</f>
        <v>1745.85</v>
      </c>
    </row>
    <row r="14" spans="1:2" x14ac:dyDescent="0.25">
      <c r="A14" s="3" t="s">
        <v>486</v>
      </c>
      <c r="B14" s="4">
        <f>16965.8</f>
        <v>16965.8</v>
      </c>
    </row>
    <row r="15" spans="1:2" x14ac:dyDescent="0.25">
      <c r="A15" s="3" t="s">
        <v>487</v>
      </c>
      <c r="B15" s="4">
        <f>35790.95</f>
        <v>35790.949999999997</v>
      </c>
    </row>
    <row r="16" spans="1:2" x14ac:dyDescent="0.25">
      <c r="A16" s="3" t="s">
        <v>488</v>
      </c>
      <c r="B16" s="4">
        <f>3368.25</f>
        <v>3368.25</v>
      </c>
    </row>
    <row r="17" spans="1:2" x14ac:dyDescent="0.25">
      <c r="A17" s="3" t="s">
        <v>489</v>
      </c>
      <c r="B17" s="4">
        <f>12873.4</f>
        <v>12873.4</v>
      </c>
    </row>
    <row r="18" spans="1:2" x14ac:dyDescent="0.25">
      <c r="A18" s="3" t="s">
        <v>490</v>
      </c>
      <c r="B18" s="4">
        <f>-22882.31</f>
        <v>-22882.31</v>
      </c>
    </row>
    <row r="19" spans="1:2" x14ac:dyDescent="0.25">
      <c r="A19" s="3" t="s">
        <v>491</v>
      </c>
      <c r="B19" s="4">
        <f>15000</f>
        <v>15000</v>
      </c>
    </row>
    <row r="20" spans="1:2" x14ac:dyDescent="0.25">
      <c r="A20" s="3" t="s">
        <v>492</v>
      </c>
      <c r="B20" s="4">
        <f>-212.26</f>
        <v>-212.26</v>
      </c>
    </row>
    <row r="21" spans="1:2" x14ac:dyDescent="0.25">
      <c r="A21" s="3" t="s">
        <v>493</v>
      </c>
      <c r="B21" s="4">
        <f>4081.37</f>
        <v>4081.37</v>
      </c>
    </row>
    <row r="22" spans="1:2" x14ac:dyDescent="0.25">
      <c r="A22" s="3" t="s">
        <v>494</v>
      </c>
      <c r="B22" s="4">
        <f>0</f>
        <v>0</v>
      </c>
    </row>
    <row r="23" spans="1:2" x14ac:dyDescent="0.25">
      <c r="A23" s="3" t="s">
        <v>495</v>
      </c>
      <c r="B23" s="4">
        <f>0</f>
        <v>0</v>
      </c>
    </row>
    <row r="24" spans="1:2" x14ac:dyDescent="0.25">
      <c r="A24" s="3" t="s">
        <v>496</v>
      </c>
      <c r="B24" s="4">
        <f>-803210.92</f>
        <v>-803210.92</v>
      </c>
    </row>
    <row r="25" spans="1:2" x14ac:dyDescent="0.25">
      <c r="A25" s="3" t="s">
        <v>497</v>
      </c>
      <c r="B25" s="4">
        <f>-88394</f>
        <v>-88394</v>
      </c>
    </row>
    <row r="26" spans="1:2" x14ac:dyDescent="0.25">
      <c r="A26" s="3" t="s">
        <v>498</v>
      </c>
      <c r="B26" s="4">
        <f>-1448</f>
        <v>-1448</v>
      </c>
    </row>
    <row r="27" spans="1:2" x14ac:dyDescent="0.25">
      <c r="A27" s="3" t="s">
        <v>499</v>
      </c>
      <c r="B27" s="4">
        <f>5000</f>
        <v>5000</v>
      </c>
    </row>
    <row r="28" spans="1:2" x14ac:dyDescent="0.25">
      <c r="A28" s="3" t="s">
        <v>500</v>
      </c>
      <c r="B28" s="4">
        <f>6256.29</f>
        <v>6256.29</v>
      </c>
    </row>
    <row r="29" spans="1:2" x14ac:dyDescent="0.25">
      <c r="A29" s="3" t="s">
        <v>501</v>
      </c>
      <c r="B29" s="4">
        <f>0</f>
        <v>0</v>
      </c>
    </row>
    <row r="30" spans="1:2" x14ac:dyDescent="0.25">
      <c r="A30" s="3" t="s">
        <v>502</v>
      </c>
      <c r="B30" s="6">
        <f>(((((((((((((((((((((B8)+(B9))+(B10))+(B11))+(B12))+(B13))+(B14))+(B15))+(B16))+(B17))+(B18))+(B19))+(B20))+(B21))+(B22))+(B23))+(B24))+(B25))+(B26))+(B27))+(B28))+(B29)</f>
        <v>-18654.990000000143</v>
      </c>
    </row>
    <row r="31" spans="1:2" x14ac:dyDescent="0.25">
      <c r="A31" s="3" t="s">
        <v>503</v>
      </c>
      <c r="B31" s="6">
        <f>(B7)+(B30)</f>
        <v>-18326.280000000144</v>
      </c>
    </row>
    <row r="32" spans="1:2" x14ac:dyDescent="0.25">
      <c r="A32" s="3" t="s">
        <v>504</v>
      </c>
      <c r="B32" s="5"/>
    </row>
    <row r="33" spans="1:2" x14ac:dyDescent="0.25">
      <c r="A33" s="3" t="s">
        <v>505</v>
      </c>
      <c r="B33" s="4">
        <f>-1975</f>
        <v>-1975</v>
      </c>
    </row>
    <row r="34" spans="1:2" x14ac:dyDescent="0.25">
      <c r="A34" s="3" t="s">
        <v>506</v>
      </c>
      <c r="B34" s="4">
        <f>-4600</f>
        <v>-4600</v>
      </c>
    </row>
    <row r="35" spans="1:2" x14ac:dyDescent="0.25">
      <c r="A35" s="3" t="s">
        <v>507</v>
      </c>
      <c r="B35" s="4">
        <f>0</f>
        <v>0</v>
      </c>
    </row>
    <row r="36" spans="1:2" x14ac:dyDescent="0.25">
      <c r="A36" s="3" t="s">
        <v>508</v>
      </c>
      <c r="B36" s="4">
        <f>-68031</f>
        <v>-68031</v>
      </c>
    </row>
    <row r="37" spans="1:2" x14ac:dyDescent="0.25">
      <c r="A37" s="3" t="s">
        <v>509</v>
      </c>
      <c r="B37" s="6">
        <f>(((B33)+(B34))+(B35))+(B36)</f>
        <v>-74606</v>
      </c>
    </row>
    <row r="38" spans="1:2" x14ac:dyDescent="0.25">
      <c r="A38" s="3" t="s">
        <v>510</v>
      </c>
      <c r="B38" s="5"/>
    </row>
    <row r="39" spans="1:2" x14ac:dyDescent="0.25">
      <c r="A39" s="3" t="s">
        <v>511</v>
      </c>
      <c r="B39" s="4">
        <f>-17500</f>
        <v>-17500</v>
      </c>
    </row>
    <row r="40" spans="1:2" x14ac:dyDescent="0.25">
      <c r="A40" s="3" t="s">
        <v>512</v>
      </c>
      <c r="B40" s="4">
        <f>-33793.66</f>
        <v>-33793.660000000003</v>
      </c>
    </row>
    <row r="41" spans="1:2" x14ac:dyDescent="0.25">
      <c r="A41" s="3" t="s">
        <v>513</v>
      </c>
      <c r="B41" s="4">
        <f>44453.95</f>
        <v>44453.95</v>
      </c>
    </row>
    <row r="42" spans="1:2" x14ac:dyDescent="0.25">
      <c r="A42" s="3" t="s">
        <v>514</v>
      </c>
      <c r="B42" s="6">
        <f>((B39)+(B40))+(B41)</f>
        <v>-6839.7100000000064</v>
      </c>
    </row>
    <row r="43" spans="1:2" x14ac:dyDescent="0.25">
      <c r="A43" s="3" t="s">
        <v>515</v>
      </c>
      <c r="B43" s="6">
        <f>((B31)+(B37))+(B42)</f>
        <v>-99771.990000000151</v>
      </c>
    </row>
    <row r="44" spans="1:2" x14ac:dyDescent="0.25">
      <c r="A44" s="3" t="s">
        <v>516</v>
      </c>
      <c r="B44" s="4">
        <f>521427.49</f>
        <v>521427.49</v>
      </c>
    </row>
    <row r="45" spans="1:2" x14ac:dyDescent="0.25">
      <c r="A45" s="3" t="s">
        <v>517</v>
      </c>
      <c r="B45" s="6">
        <f>(B43)+(B44)</f>
        <v>421655.49999999983</v>
      </c>
    </row>
    <row r="46" spans="1:2" x14ac:dyDescent="0.25">
      <c r="A46" s="3"/>
      <c r="B46" s="5"/>
    </row>
    <row r="49" spans="1:2" x14ac:dyDescent="0.25">
      <c r="A49" s="19" t="s">
        <v>518</v>
      </c>
      <c r="B49" s="17"/>
    </row>
  </sheetData>
  <mergeCells count="4">
    <mergeCell ref="A1:B1"/>
    <mergeCell ref="A2:B2"/>
    <mergeCell ref="A3:B3"/>
    <mergeCell ref="A49:B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3"/>
  <sheetViews>
    <sheetView workbookViewId="0">
      <selection activeCell="C37" sqref="C37"/>
    </sheetView>
  </sheetViews>
  <sheetFormatPr defaultRowHeight="15" x14ac:dyDescent="0.25"/>
  <cols>
    <col min="1" max="1" width="84.28515625" customWidth="1"/>
    <col min="2" max="3" width="16.28515625" customWidth="1"/>
  </cols>
  <sheetData>
    <row r="1" spans="1:3" ht="18" x14ac:dyDescent="0.25">
      <c r="A1" s="16" t="s">
        <v>147</v>
      </c>
      <c r="B1" s="17"/>
      <c r="C1" s="17"/>
    </row>
    <row r="2" spans="1:3" ht="18" x14ac:dyDescent="0.25">
      <c r="A2" s="16" t="s">
        <v>148</v>
      </c>
      <c r="B2" s="17"/>
      <c r="C2" s="17"/>
    </row>
    <row r="3" spans="1:3" x14ac:dyDescent="0.25">
      <c r="A3" s="18" t="s">
        <v>149</v>
      </c>
      <c r="B3" s="17"/>
      <c r="C3" s="17"/>
    </row>
    <row r="5" spans="1:3" x14ac:dyDescent="0.25">
      <c r="A5" s="1"/>
      <c r="B5" s="2" t="s">
        <v>0</v>
      </c>
      <c r="C5" s="2" t="s">
        <v>1</v>
      </c>
    </row>
    <row r="6" spans="1:3" x14ac:dyDescent="0.25">
      <c r="A6" s="3" t="s">
        <v>2</v>
      </c>
      <c r="B6" s="4">
        <f>304022.25</f>
        <v>304022.25</v>
      </c>
      <c r="C6" s="5"/>
    </row>
    <row r="7" spans="1:3" x14ac:dyDescent="0.25">
      <c r="A7" s="3" t="s">
        <v>3</v>
      </c>
      <c r="B7" s="4">
        <f>215.41</f>
        <v>215.41</v>
      </c>
      <c r="C7" s="5"/>
    </row>
    <row r="8" spans="1:3" x14ac:dyDescent="0.25">
      <c r="A8" s="3" t="s">
        <v>4</v>
      </c>
      <c r="B8" s="4">
        <f>42514.24</f>
        <v>42514.239999999998</v>
      </c>
      <c r="C8" s="5"/>
    </row>
    <row r="9" spans="1:3" x14ac:dyDescent="0.25">
      <c r="A9" s="3" t="s">
        <v>5</v>
      </c>
      <c r="B9" s="4">
        <f>22358.62</f>
        <v>22358.62</v>
      </c>
      <c r="C9" s="5"/>
    </row>
    <row r="10" spans="1:3" x14ac:dyDescent="0.25">
      <c r="A10" s="3" t="s">
        <v>6</v>
      </c>
      <c r="B10" s="4">
        <f>539.75</f>
        <v>539.75</v>
      </c>
      <c r="C10" s="5"/>
    </row>
    <row r="11" spans="1:3" x14ac:dyDescent="0.25">
      <c r="A11" s="3" t="s">
        <v>7</v>
      </c>
      <c r="B11" s="4">
        <f>0</f>
        <v>0</v>
      </c>
      <c r="C11" s="5"/>
    </row>
    <row r="12" spans="1:3" x14ac:dyDescent="0.25">
      <c r="A12" s="3" t="s">
        <v>8</v>
      </c>
      <c r="B12" s="4">
        <f>51755.23</f>
        <v>51755.23</v>
      </c>
      <c r="C12" s="5"/>
    </row>
    <row r="13" spans="1:3" x14ac:dyDescent="0.25">
      <c r="A13" s="3" t="s">
        <v>9</v>
      </c>
      <c r="B13" s="4">
        <f>0</f>
        <v>0</v>
      </c>
      <c r="C13" s="5"/>
    </row>
    <row r="14" spans="1:3" x14ac:dyDescent="0.25">
      <c r="A14" s="3" t="s">
        <v>10</v>
      </c>
      <c r="B14" s="4">
        <f>50</f>
        <v>50</v>
      </c>
      <c r="C14" s="5"/>
    </row>
    <row r="15" spans="1:3" x14ac:dyDescent="0.25">
      <c r="A15" s="3" t="s">
        <v>11</v>
      </c>
      <c r="B15" s="4">
        <f>200</f>
        <v>200</v>
      </c>
      <c r="C15" s="5"/>
    </row>
    <row r="16" spans="1:3" x14ac:dyDescent="0.25">
      <c r="A16" s="3" t="s">
        <v>12</v>
      </c>
      <c r="B16" s="25">
        <f>774337.01</f>
        <v>774337.01</v>
      </c>
      <c r="C16" s="5"/>
    </row>
    <row r="17" spans="1:3" x14ac:dyDescent="0.25">
      <c r="A17" s="3" t="s">
        <v>13</v>
      </c>
      <c r="B17" s="4">
        <f>0</f>
        <v>0</v>
      </c>
      <c r="C17" s="5"/>
    </row>
    <row r="18" spans="1:3" x14ac:dyDescent="0.25">
      <c r="A18" s="3" t="s">
        <v>14</v>
      </c>
      <c r="B18" s="4">
        <f>0</f>
        <v>0</v>
      </c>
      <c r="C18" s="5"/>
    </row>
    <row r="19" spans="1:3" x14ac:dyDescent="0.25">
      <c r="A19" s="3" t="s">
        <v>15</v>
      </c>
      <c r="B19" s="4">
        <f>35164.48</f>
        <v>35164.480000000003</v>
      </c>
      <c r="C19" s="5"/>
    </row>
    <row r="20" spans="1:3" x14ac:dyDescent="0.25">
      <c r="A20" s="3" t="s">
        <v>16</v>
      </c>
      <c r="B20" s="4">
        <f>0</f>
        <v>0</v>
      </c>
      <c r="C20" s="5"/>
    </row>
    <row r="21" spans="1:3" x14ac:dyDescent="0.25">
      <c r="A21" s="3" t="s">
        <v>17</v>
      </c>
      <c r="B21" s="4">
        <f>0</f>
        <v>0</v>
      </c>
      <c r="C21" s="5"/>
    </row>
    <row r="22" spans="1:3" x14ac:dyDescent="0.25">
      <c r="A22" s="3" t="s">
        <v>18</v>
      </c>
      <c r="B22" s="4">
        <f>195439.03</f>
        <v>195439.03</v>
      </c>
      <c r="C22" s="5"/>
    </row>
    <row r="23" spans="1:3" x14ac:dyDescent="0.25">
      <c r="A23" s="3" t="s">
        <v>19</v>
      </c>
      <c r="B23" s="4">
        <f>96964</f>
        <v>96964</v>
      </c>
      <c r="C23" s="5"/>
    </row>
    <row r="24" spans="1:3" x14ac:dyDescent="0.25">
      <c r="A24" s="3" t="s">
        <v>20</v>
      </c>
      <c r="B24" s="4">
        <f>514690.24</f>
        <v>514690.24</v>
      </c>
      <c r="C24" s="5"/>
    </row>
    <row r="25" spans="1:3" x14ac:dyDescent="0.25">
      <c r="A25" s="3" t="s">
        <v>21</v>
      </c>
      <c r="B25" s="4">
        <f>190967</f>
        <v>190967</v>
      </c>
      <c r="C25" s="5"/>
    </row>
    <row r="26" spans="1:3" x14ac:dyDescent="0.25">
      <c r="A26" s="3" t="s">
        <v>22</v>
      </c>
      <c r="B26" s="4">
        <f>2412000</f>
        <v>2412000</v>
      </c>
      <c r="C26" s="5"/>
    </row>
    <row r="27" spans="1:3" x14ac:dyDescent="0.25">
      <c r="A27" s="3" t="s">
        <v>23</v>
      </c>
      <c r="B27" s="4">
        <f>3426546.97</f>
        <v>3426546.97</v>
      </c>
      <c r="C27" s="5"/>
    </row>
    <row r="28" spans="1:3" x14ac:dyDescent="0.25">
      <c r="A28" s="3" t="s">
        <v>24</v>
      </c>
      <c r="B28" s="5"/>
      <c r="C28" s="4">
        <f>146890.38</f>
        <v>146890.38</v>
      </c>
    </row>
    <row r="29" spans="1:3" x14ac:dyDescent="0.25">
      <c r="A29" s="3" t="s">
        <v>25</v>
      </c>
      <c r="B29" s="5"/>
      <c r="C29" s="4">
        <f>81945.55</f>
        <v>81945.55</v>
      </c>
    </row>
    <row r="30" spans="1:3" x14ac:dyDescent="0.25">
      <c r="A30" s="3" t="s">
        <v>26</v>
      </c>
      <c r="B30" s="5"/>
      <c r="C30" s="4">
        <f>253308.99</f>
        <v>253308.99</v>
      </c>
    </row>
    <row r="31" spans="1:3" x14ac:dyDescent="0.25">
      <c r="A31" s="3" t="s">
        <v>27</v>
      </c>
      <c r="B31" s="5"/>
      <c r="C31" s="4">
        <f>1311010.41</f>
        <v>1311010.4099999999</v>
      </c>
    </row>
    <row r="32" spans="1:3" x14ac:dyDescent="0.25">
      <c r="A32" s="3" t="s">
        <v>28</v>
      </c>
      <c r="B32" s="5"/>
      <c r="C32" s="4">
        <f>724052.92</f>
        <v>724052.92</v>
      </c>
    </row>
    <row r="33" spans="1:3" x14ac:dyDescent="0.25">
      <c r="A33" s="3" t="s">
        <v>29</v>
      </c>
      <c r="B33" s="5"/>
      <c r="C33" s="4">
        <f>59937.84</f>
        <v>59937.84</v>
      </c>
    </row>
    <row r="34" spans="1:3" x14ac:dyDescent="0.25">
      <c r="A34" s="3" t="s">
        <v>30</v>
      </c>
      <c r="B34" s="5"/>
      <c r="C34" s="4">
        <f>47939.3</f>
        <v>47939.3</v>
      </c>
    </row>
    <row r="35" spans="1:3" x14ac:dyDescent="0.25">
      <c r="A35" s="3" t="s">
        <v>31</v>
      </c>
      <c r="B35" s="4">
        <f>49328.14</f>
        <v>49328.14</v>
      </c>
      <c r="C35" s="5"/>
    </row>
    <row r="36" spans="1:3" x14ac:dyDescent="0.25">
      <c r="A36" s="3" t="s">
        <v>32</v>
      </c>
      <c r="B36" s="4">
        <f>119901</f>
        <v>119901</v>
      </c>
      <c r="C36" s="5"/>
    </row>
    <row r="37" spans="1:3" x14ac:dyDescent="0.25">
      <c r="A37" s="3" t="s">
        <v>33</v>
      </c>
      <c r="B37" s="5"/>
      <c r="C37" s="25">
        <f>41619.97</f>
        <v>41619.97</v>
      </c>
    </row>
    <row r="38" spans="1:3" x14ac:dyDescent="0.25">
      <c r="A38" s="3" t="s">
        <v>34</v>
      </c>
      <c r="B38" s="5"/>
      <c r="C38" s="4">
        <f>36600</f>
        <v>36600</v>
      </c>
    </row>
    <row r="39" spans="1:3" x14ac:dyDescent="0.25">
      <c r="A39" s="3" t="s">
        <v>35</v>
      </c>
      <c r="B39" s="5"/>
      <c r="C39" s="4">
        <f>0</f>
        <v>0</v>
      </c>
    </row>
    <row r="40" spans="1:3" x14ac:dyDescent="0.25">
      <c r="A40" s="3" t="s">
        <v>36</v>
      </c>
      <c r="B40" s="4">
        <f>212.26</f>
        <v>212.26</v>
      </c>
      <c r="C40" s="5"/>
    </row>
    <row r="41" spans="1:3" x14ac:dyDescent="0.25">
      <c r="A41" s="3" t="s">
        <v>37</v>
      </c>
      <c r="B41" s="5"/>
      <c r="C41" s="4">
        <f>4081.37</f>
        <v>4081.37</v>
      </c>
    </row>
    <row r="42" spans="1:3" x14ac:dyDescent="0.25">
      <c r="A42" s="3" t="s">
        <v>38</v>
      </c>
      <c r="B42" s="5"/>
      <c r="C42" s="4">
        <f>0</f>
        <v>0</v>
      </c>
    </row>
    <row r="43" spans="1:3" x14ac:dyDescent="0.25">
      <c r="A43" s="3" t="s">
        <v>39</v>
      </c>
      <c r="B43" s="5"/>
      <c r="C43" s="4">
        <f>0</f>
        <v>0</v>
      </c>
    </row>
    <row r="44" spans="1:3" x14ac:dyDescent="0.25">
      <c r="A44" s="3" t="s">
        <v>40</v>
      </c>
      <c r="B44" s="5"/>
      <c r="C44" s="4">
        <f>0</f>
        <v>0</v>
      </c>
    </row>
    <row r="45" spans="1:3" x14ac:dyDescent="0.25">
      <c r="A45" s="3" t="s">
        <v>41</v>
      </c>
      <c r="B45" s="5"/>
      <c r="C45" s="4">
        <f>881085.12</f>
        <v>881085.12</v>
      </c>
    </row>
    <row r="46" spans="1:3" x14ac:dyDescent="0.25">
      <c r="A46" s="3" t="s">
        <v>42</v>
      </c>
      <c r="B46" s="5"/>
      <c r="C46" s="4">
        <f>85032.99</f>
        <v>85032.99</v>
      </c>
    </row>
    <row r="47" spans="1:3" x14ac:dyDescent="0.25">
      <c r="A47" s="3" t="s">
        <v>43</v>
      </c>
      <c r="B47" s="5"/>
      <c r="C47" s="4">
        <f>0</f>
        <v>0</v>
      </c>
    </row>
    <row r="48" spans="1:3" x14ac:dyDescent="0.25">
      <c r="A48" s="3" t="s">
        <v>44</v>
      </c>
      <c r="B48" s="5"/>
      <c r="C48" s="4">
        <f>41000</f>
        <v>41000</v>
      </c>
    </row>
    <row r="49" spans="1:3" x14ac:dyDescent="0.25">
      <c r="A49" s="3" t="s">
        <v>45</v>
      </c>
      <c r="B49" s="5"/>
      <c r="C49" s="4">
        <f>20833.29</f>
        <v>20833.29</v>
      </c>
    </row>
    <row r="50" spans="1:3" x14ac:dyDescent="0.25">
      <c r="A50" s="3" t="s">
        <v>46</v>
      </c>
      <c r="B50" s="4">
        <f>21847.18</f>
        <v>21847.18</v>
      </c>
      <c r="C50" s="5"/>
    </row>
    <row r="51" spans="1:3" x14ac:dyDescent="0.25">
      <c r="A51" s="3" t="s">
        <v>47</v>
      </c>
      <c r="B51" s="4">
        <f>30340</f>
        <v>30340</v>
      </c>
      <c r="C51" s="5"/>
    </row>
    <row r="52" spans="1:3" x14ac:dyDescent="0.25">
      <c r="A52" s="3" t="s">
        <v>48</v>
      </c>
      <c r="B52" s="5"/>
      <c r="C52" s="4">
        <f>344000</f>
        <v>344000</v>
      </c>
    </row>
    <row r="53" spans="1:3" x14ac:dyDescent="0.25">
      <c r="A53" s="3" t="s">
        <v>49</v>
      </c>
      <c r="B53" s="5"/>
      <c r="C53" s="4">
        <f>2045195.88</f>
        <v>2045195.88</v>
      </c>
    </row>
    <row r="54" spans="1:3" x14ac:dyDescent="0.25">
      <c r="A54" s="3" t="s">
        <v>50</v>
      </c>
      <c r="B54" s="5"/>
      <c r="C54" s="4">
        <f>495694</f>
        <v>495694</v>
      </c>
    </row>
    <row r="55" spans="1:3" x14ac:dyDescent="0.25">
      <c r="A55" s="3" t="s">
        <v>51</v>
      </c>
      <c r="B55" s="5"/>
      <c r="C55" s="4">
        <f>44453.95</f>
        <v>44453.95</v>
      </c>
    </row>
    <row r="56" spans="1:3" x14ac:dyDescent="0.25">
      <c r="A56" s="3" t="s">
        <v>52</v>
      </c>
      <c r="B56" s="4">
        <f>675160.75</f>
        <v>675160.75</v>
      </c>
      <c r="C56" s="5"/>
    </row>
    <row r="57" spans="1:3" x14ac:dyDescent="0.25">
      <c r="A57" s="3" t="s">
        <v>53</v>
      </c>
      <c r="B57" s="5"/>
      <c r="C57" s="4">
        <f>52170.38</f>
        <v>52170.38</v>
      </c>
    </row>
    <row r="58" spans="1:3" x14ac:dyDescent="0.25">
      <c r="A58" s="3" t="s">
        <v>54</v>
      </c>
      <c r="B58" s="5"/>
      <c r="C58" s="4">
        <f>1136298.41</f>
        <v>1136298.4099999999</v>
      </c>
    </row>
    <row r="59" spans="1:3" x14ac:dyDescent="0.25">
      <c r="A59" s="3" t="s">
        <v>55</v>
      </c>
      <c r="B59" s="5"/>
      <c r="C59" s="4">
        <f>0</f>
        <v>0</v>
      </c>
    </row>
    <row r="60" spans="1:3" x14ac:dyDescent="0.25">
      <c r="A60" s="3" t="s">
        <v>56</v>
      </c>
      <c r="B60" s="5"/>
      <c r="C60" s="4">
        <f>1111074.1</f>
        <v>1111074.1000000001</v>
      </c>
    </row>
    <row r="61" spans="1:3" x14ac:dyDescent="0.25">
      <c r="A61" s="3" t="s">
        <v>57</v>
      </c>
      <c r="B61" s="5"/>
      <c r="C61" s="4">
        <f>1049887.49</f>
        <v>1049887.49</v>
      </c>
    </row>
    <row r="62" spans="1:3" x14ac:dyDescent="0.25">
      <c r="A62" s="3" t="s">
        <v>58</v>
      </c>
      <c r="B62" s="4">
        <f>6225</f>
        <v>6225</v>
      </c>
      <c r="C62" s="5"/>
    </row>
    <row r="63" spans="1:3" x14ac:dyDescent="0.25">
      <c r="A63" s="3" t="s">
        <v>59</v>
      </c>
      <c r="B63" s="4">
        <f>10500</f>
        <v>10500</v>
      </c>
      <c r="C63" s="5"/>
    </row>
    <row r="64" spans="1:3" x14ac:dyDescent="0.25">
      <c r="A64" s="3" t="s">
        <v>60</v>
      </c>
      <c r="B64" s="4">
        <f>53861.5</f>
        <v>53861.5</v>
      </c>
      <c r="C64" s="5"/>
    </row>
    <row r="65" spans="1:3" x14ac:dyDescent="0.25">
      <c r="A65" s="3" t="s">
        <v>61</v>
      </c>
      <c r="B65" s="4">
        <f>21490</f>
        <v>21490</v>
      </c>
      <c r="C65" s="5"/>
    </row>
    <row r="66" spans="1:3" x14ac:dyDescent="0.25">
      <c r="A66" s="3" t="s">
        <v>62</v>
      </c>
      <c r="B66" s="4">
        <f>17687.25</f>
        <v>17687.25</v>
      </c>
      <c r="C66" s="5"/>
    </row>
    <row r="67" spans="1:3" x14ac:dyDescent="0.25">
      <c r="A67" s="3" t="s">
        <v>63</v>
      </c>
      <c r="B67" s="4">
        <f>10492</f>
        <v>10492</v>
      </c>
      <c r="C67" s="5"/>
    </row>
    <row r="68" spans="1:3" x14ac:dyDescent="0.25">
      <c r="A68" s="3" t="s">
        <v>64</v>
      </c>
      <c r="B68" s="4">
        <f>7012.5</f>
        <v>7012.5</v>
      </c>
      <c r="C68" s="5"/>
    </row>
    <row r="69" spans="1:3" x14ac:dyDescent="0.25">
      <c r="A69" s="3" t="s">
        <v>65</v>
      </c>
      <c r="B69" s="4">
        <f>6808.45</f>
        <v>6808.45</v>
      </c>
      <c r="C69" s="5"/>
    </row>
    <row r="70" spans="1:3" x14ac:dyDescent="0.25">
      <c r="A70" s="3" t="s">
        <v>66</v>
      </c>
      <c r="B70" s="4">
        <f>174.9</f>
        <v>174.9</v>
      </c>
      <c r="C70" s="5"/>
    </row>
    <row r="71" spans="1:3" x14ac:dyDescent="0.25">
      <c r="A71" s="3" t="s">
        <v>67</v>
      </c>
      <c r="B71" s="4">
        <f>28122.8</f>
        <v>28122.799999999999</v>
      </c>
      <c r="C71" s="5"/>
    </row>
    <row r="72" spans="1:3" x14ac:dyDescent="0.25">
      <c r="A72" s="3" t="s">
        <v>68</v>
      </c>
      <c r="B72" s="4">
        <f>349.75</f>
        <v>349.75</v>
      </c>
      <c r="C72" s="5"/>
    </row>
    <row r="73" spans="1:3" x14ac:dyDescent="0.25">
      <c r="A73" s="3" t="s">
        <v>69</v>
      </c>
      <c r="B73" s="5"/>
      <c r="C73" s="4">
        <f>209539.87</f>
        <v>209539.87</v>
      </c>
    </row>
    <row r="74" spans="1:3" x14ac:dyDescent="0.25">
      <c r="A74" s="3" t="s">
        <v>70</v>
      </c>
      <c r="B74" s="5"/>
      <c r="C74" s="4">
        <f>4144.5</f>
        <v>4144.5</v>
      </c>
    </row>
    <row r="75" spans="1:3" x14ac:dyDescent="0.25">
      <c r="A75" s="3" t="s">
        <v>71</v>
      </c>
      <c r="B75" s="5"/>
      <c r="C75" s="4">
        <f>370</f>
        <v>370</v>
      </c>
    </row>
    <row r="76" spans="1:3" x14ac:dyDescent="0.25">
      <c r="A76" s="3" t="s">
        <v>72</v>
      </c>
      <c r="B76" s="5"/>
      <c r="C76" s="4">
        <f>85962.37</f>
        <v>85962.37</v>
      </c>
    </row>
    <row r="77" spans="1:3" x14ac:dyDescent="0.25">
      <c r="A77" s="3" t="s">
        <v>73</v>
      </c>
      <c r="B77" s="5"/>
      <c r="C77" s="4">
        <f>40</f>
        <v>40</v>
      </c>
    </row>
    <row r="78" spans="1:3" x14ac:dyDescent="0.25">
      <c r="A78" s="3" t="s">
        <v>74</v>
      </c>
      <c r="B78" s="5"/>
      <c r="C78" s="4">
        <f>41205.98</f>
        <v>41205.980000000003</v>
      </c>
    </row>
    <row r="79" spans="1:3" x14ac:dyDescent="0.25">
      <c r="A79" s="3" t="s">
        <v>75</v>
      </c>
      <c r="B79" s="5"/>
      <c r="C79" s="4">
        <f>269</f>
        <v>269</v>
      </c>
    </row>
    <row r="80" spans="1:3" x14ac:dyDescent="0.25">
      <c r="A80" s="3" t="s">
        <v>76</v>
      </c>
      <c r="B80" s="5"/>
      <c r="C80" s="4">
        <f>4700</f>
        <v>4700</v>
      </c>
    </row>
    <row r="81" spans="1:3" x14ac:dyDescent="0.25">
      <c r="A81" s="3" t="s">
        <v>77</v>
      </c>
      <c r="B81" s="5"/>
      <c r="C81" s="4">
        <f>335.73</f>
        <v>335.73</v>
      </c>
    </row>
    <row r="82" spans="1:3" x14ac:dyDescent="0.25">
      <c r="A82" s="3" t="s">
        <v>78</v>
      </c>
      <c r="B82" s="5"/>
      <c r="C82" s="4">
        <f>635.44</f>
        <v>635.44000000000005</v>
      </c>
    </row>
    <row r="83" spans="1:3" x14ac:dyDescent="0.25">
      <c r="A83" s="3" t="s">
        <v>79</v>
      </c>
      <c r="B83" s="5"/>
      <c r="C83" s="4">
        <f>27679.99</f>
        <v>27679.99</v>
      </c>
    </row>
    <row r="84" spans="1:3" x14ac:dyDescent="0.25">
      <c r="A84" s="3" t="s">
        <v>80</v>
      </c>
      <c r="B84" s="5"/>
      <c r="C84" s="4">
        <f>37667.02</f>
        <v>37667.019999999997</v>
      </c>
    </row>
    <row r="85" spans="1:3" x14ac:dyDescent="0.25">
      <c r="A85" s="3" t="s">
        <v>81</v>
      </c>
      <c r="B85" s="5"/>
      <c r="C85" s="4">
        <f>17685.23</f>
        <v>17685.23</v>
      </c>
    </row>
    <row r="86" spans="1:3" x14ac:dyDescent="0.25">
      <c r="A86" s="3" t="s">
        <v>82</v>
      </c>
      <c r="B86" s="5"/>
      <c r="C86" s="4">
        <f>18.62</f>
        <v>18.62</v>
      </c>
    </row>
    <row r="87" spans="1:3" x14ac:dyDescent="0.25">
      <c r="A87" s="3" t="s">
        <v>83</v>
      </c>
      <c r="B87" s="5"/>
      <c r="C87" s="4">
        <f>899</f>
        <v>899</v>
      </c>
    </row>
    <row r="88" spans="1:3" x14ac:dyDescent="0.25">
      <c r="A88" s="3" t="s">
        <v>84</v>
      </c>
      <c r="B88" s="5"/>
      <c r="C88" s="4">
        <f>20000</f>
        <v>20000</v>
      </c>
    </row>
    <row r="89" spans="1:3" x14ac:dyDescent="0.25">
      <c r="A89" s="3" t="s">
        <v>85</v>
      </c>
      <c r="B89" s="5"/>
      <c r="C89" s="4">
        <f>3739.5</f>
        <v>3739.5</v>
      </c>
    </row>
    <row r="90" spans="1:3" x14ac:dyDescent="0.25">
      <c r="A90" s="3" t="s">
        <v>86</v>
      </c>
      <c r="B90" s="4">
        <f>488108.24</f>
        <v>488108.24</v>
      </c>
      <c r="C90" s="5"/>
    </row>
    <row r="91" spans="1:3" x14ac:dyDescent="0.25">
      <c r="A91" s="3" t="s">
        <v>87</v>
      </c>
      <c r="B91" s="4">
        <f>43740.82</f>
        <v>43740.82</v>
      </c>
      <c r="C91" s="5"/>
    </row>
    <row r="92" spans="1:3" x14ac:dyDescent="0.25">
      <c r="A92" s="3" t="s">
        <v>88</v>
      </c>
      <c r="B92" s="4">
        <f>259017.27</f>
        <v>259017.27</v>
      </c>
      <c r="C92" s="5"/>
    </row>
    <row r="93" spans="1:3" x14ac:dyDescent="0.25">
      <c r="A93" s="3" t="s">
        <v>89</v>
      </c>
      <c r="B93" s="4">
        <f>14244.48</f>
        <v>14244.48</v>
      </c>
      <c r="C93" s="5"/>
    </row>
    <row r="94" spans="1:3" x14ac:dyDescent="0.25">
      <c r="A94" s="3" t="s">
        <v>90</v>
      </c>
      <c r="B94" s="4">
        <f>2650</f>
        <v>2650</v>
      </c>
      <c r="C94" s="5"/>
    </row>
    <row r="95" spans="1:3" x14ac:dyDescent="0.25">
      <c r="A95" s="3" t="s">
        <v>91</v>
      </c>
      <c r="B95" s="4">
        <f>54821.72</f>
        <v>54821.72</v>
      </c>
      <c r="C95" s="5"/>
    </row>
    <row r="96" spans="1:3" x14ac:dyDescent="0.25">
      <c r="A96" s="3" t="s">
        <v>92</v>
      </c>
      <c r="B96" s="4">
        <f>800</f>
        <v>800</v>
      </c>
      <c r="C96" s="5"/>
    </row>
    <row r="97" spans="1:3" x14ac:dyDescent="0.25">
      <c r="A97" s="3" t="s">
        <v>93</v>
      </c>
      <c r="B97" s="4">
        <f>35642.69</f>
        <v>35642.69</v>
      </c>
      <c r="C97" s="5"/>
    </row>
    <row r="98" spans="1:3" x14ac:dyDescent="0.25">
      <c r="A98" s="3" t="s">
        <v>94</v>
      </c>
      <c r="B98" s="4">
        <f>15400</f>
        <v>15400</v>
      </c>
      <c r="C98" s="5"/>
    </row>
    <row r="99" spans="1:3" x14ac:dyDescent="0.25">
      <c r="A99" s="3" t="s">
        <v>95</v>
      </c>
      <c r="B99" s="4">
        <f>353.57</f>
        <v>353.57</v>
      </c>
      <c r="C99" s="5"/>
    </row>
    <row r="100" spans="1:3" x14ac:dyDescent="0.25">
      <c r="A100" s="3" t="s">
        <v>96</v>
      </c>
      <c r="B100" s="4">
        <f>16834</f>
        <v>16834</v>
      </c>
      <c r="C100" s="5"/>
    </row>
    <row r="101" spans="1:3" x14ac:dyDescent="0.25">
      <c r="A101" s="3" t="s">
        <v>97</v>
      </c>
      <c r="B101" s="4">
        <f>3305.08</f>
        <v>3305.08</v>
      </c>
      <c r="C101" s="5"/>
    </row>
    <row r="102" spans="1:3" x14ac:dyDescent="0.25">
      <c r="A102" s="3" t="s">
        <v>98</v>
      </c>
      <c r="B102" s="4">
        <f>10859.85</f>
        <v>10859.85</v>
      </c>
      <c r="C102" s="5"/>
    </row>
    <row r="103" spans="1:3" x14ac:dyDescent="0.25">
      <c r="A103" s="3" t="s">
        <v>99</v>
      </c>
      <c r="B103" s="4">
        <f>144.81</f>
        <v>144.81</v>
      </c>
      <c r="C103" s="5"/>
    </row>
    <row r="104" spans="1:3" x14ac:dyDescent="0.25">
      <c r="A104" s="3" t="s">
        <v>100</v>
      </c>
      <c r="B104" s="4">
        <f>1816.37</f>
        <v>1816.37</v>
      </c>
      <c r="C104" s="5"/>
    </row>
    <row r="105" spans="1:3" x14ac:dyDescent="0.25">
      <c r="A105" s="3" t="s">
        <v>101</v>
      </c>
      <c r="B105" s="4">
        <f>28512.23</f>
        <v>28512.23</v>
      </c>
      <c r="C105" s="5"/>
    </row>
    <row r="106" spans="1:3" x14ac:dyDescent="0.25">
      <c r="A106" s="3" t="s">
        <v>102</v>
      </c>
      <c r="B106" s="4">
        <f>1451.5</f>
        <v>1451.5</v>
      </c>
      <c r="C106" s="5"/>
    </row>
    <row r="107" spans="1:3" x14ac:dyDescent="0.25">
      <c r="A107" s="3" t="s">
        <v>103</v>
      </c>
      <c r="B107" s="4">
        <f>2545.83</f>
        <v>2545.83</v>
      </c>
      <c r="C107" s="5"/>
    </row>
    <row r="108" spans="1:3" x14ac:dyDescent="0.25">
      <c r="A108" s="3" t="s">
        <v>104</v>
      </c>
      <c r="B108" s="4">
        <f>1201.96</f>
        <v>1201.96</v>
      </c>
      <c r="C108" s="5"/>
    </row>
    <row r="109" spans="1:3" x14ac:dyDescent="0.25">
      <c r="A109" s="3" t="s">
        <v>105</v>
      </c>
      <c r="B109" s="4">
        <f>325</f>
        <v>325</v>
      </c>
      <c r="C109" s="5"/>
    </row>
    <row r="110" spans="1:3" x14ac:dyDescent="0.25">
      <c r="A110" s="3" t="s">
        <v>106</v>
      </c>
      <c r="B110" s="4">
        <f>28327.92</f>
        <v>28327.919999999998</v>
      </c>
      <c r="C110" s="5"/>
    </row>
    <row r="111" spans="1:3" x14ac:dyDescent="0.25">
      <c r="A111" s="3" t="s">
        <v>107</v>
      </c>
      <c r="B111" s="4">
        <f>3775.83</f>
        <v>3775.83</v>
      </c>
      <c r="C111" s="5"/>
    </row>
    <row r="112" spans="1:3" x14ac:dyDescent="0.25">
      <c r="A112" s="3" t="s">
        <v>108</v>
      </c>
      <c r="B112" s="4">
        <f>864.11</f>
        <v>864.11</v>
      </c>
      <c r="C112" s="5"/>
    </row>
    <row r="113" spans="1:3" x14ac:dyDescent="0.25">
      <c r="A113" s="3" t="s">
        <v>109</v>
      </c>
      <c r="B113" s="4">
        <f>6972.13</f>
        <v>6972.13</v>
      </c>
      <c r="C113" s="5"/>
    </row>
    <row r="114" spans="1:3" x14ac:dyDescent="0.25">
      <c r="A114" s="3" t="s">
        <v>110</v>
      </c>
      <c r="B114" s="4">
        <f>150</f>
        <v>150</v>
      </c>
      <c r="C114" s="5"/>
    </row>
    <row r="115" spans="1:3" x14ac:dyDescent="0.25">
      <c r="A115" s="3" t="s">
        <v>111</v>
      </c>
      <c r="B115" s="4">
        <f>0</f>
        <v>0</v>
      </c>
      <c r="C115" s="5"/>
    </row>
    <row r="116" spans="1:3" x14ac:dyDescent="0.25">
      <c r="A116" s="3" t="s">
        <v>112</v>
      </c>
      <c r="B116" s="4">
        <f>700</f>
        <v>700</v>
      </c>
      <c r="C116" s="5"/>
    </row>
    <row r="117" spans="1:3" x14ac:dyDescent="0.25">
      <c r="A117" s="3" t="s">
        <v>113</v>
      </c>
      <c r="B117" s="4">
        <f>765</f>
        <v>765</v>
      </c>
      <c r="C117" s="5"/>
    </row>
    <row r="118" spans="1:3" x14ac:dyDescent="0.25">
      <c r="A118" s="3" t="s">
        <v>114</v>
      </c>
      <c r="B118" s="4">
        <f>11.94</f>
        <v>11.94</v>
      </c>
      <c r="C118" s="5"/>
    </row>
    <row r="119" spans="1:3" x14ac:dyDescent="0.25">
      <c r="A119" s="3" t="s">
        <v>115</v>
      </c>
      <c r="B119" s="4">
        <f>10639.36</f>
        <v>10639.36</v>
      </c>
      <c r="C119" s="5"/>
    </row>
    <row r="120" spans="1:3" x14ac:dyDescent="0.25">
      <c r="A120" s="3" t="s">
        <v>116</v>
      </c>
      <c r="B120" s="4">
        <f>6809.01</f>
        <v>6809.01</v>
      </c>
      <c r="C120" s="5"/>
    </row>
    <row r="121" spans="1:3" x14ac:dyDescent="0.25">
      <c r="A121" s="3" t="s">
        <v>117</v>
      </c>
      <c r="B121" s="4">
        <f>5102.4</f>
        <v>5102.3999999999996</v>
      </c>
      <c r="C121" s="5"/>
    </row>
    <row r="122" spans="1:3" x14ac:dyDescent="0.25">
      <c r="A122" s="3" t="s">
        <v>118</v>
      </c>
      <c r="B122" s="4">
        <f>4701.92</f>
        <v>4701.92</v>
      </c>
      <c r="C122" s="5"/>
    </row>
    <row r="123" spans="1:3" x14ac:dyDescent="0.25">
      <c r="A123" s="3" t="s">
        <v>119</v>
      </c>
      <c r="B123" s="4">
        <f>6971.86</f>
        <v>6971.86</v>
      </c>
      <c r="C123" s="5"/>
    </row>
    <row r="124" spans="1:3" x14ac:dyDescent="0.25">
      <c r="A124" s="3" t="s">
        <v>120</v>
      </c>
      <c r="B124" s="4">
        <f>1120.26</f>
        <v>1120.26</v>
      </c>
      <c r="C124" s="5"/>
    </row>
    <row r="125" spans="1:3" x14ac:dyDescent="0.25">
      <c r="A125" s="3" t="s">
        <v>121</v>
      </c>
      <c r="B125" s="4">
        <f>249</f>
        <v>249</v>
      </c>
      <c r="C125" s="5"/>
    </row>
    <row r="126" spans="1:3" x14ac:dyDescent="0.25">
      <c r="A126" s="3" t="s">
        <v>122</v>
      </c>
      <c r="B126" s="5"/>
      <c r="C126" s="4">
        <f>995.95</f>
        <v>995.95</v>
      </c>
    </row>
    <row r="127" spans="1:3" x14ac:dyDescent="0.25">
      <c r="A127" s="3" t="s">
        <v>123</v>
      </c>
      <c r="B127" s="4">
        <f>300.61</f>
        <v>300.61</v>
      </c>
      <c r="C127" s="5"/>
    </row>
    <row r="128" spans="1:3" x14ac:dyDescent="0.25">
      <c r="A128" s="3" t="s">
        <v>124</v>
      </c>
      <c r="B128" s="4">
        <f>3180.27</f>
        <v>3180.27</v>
      </c>
      <c r="C128" s="5"/>
    </row>
    <row r="129" spans="1:3" x14ac:dyDescent="0.25">
      <c r="A129" s="3" t="s">
        <v>125</v>
      </c>
      <c r="B129" s="4">
        <f>1199.56</f>
        <v>1199.56</v>
      </c>
      <c r="C129" s="5"/>
    </row>
    <row r="130" spans="1:3" x14ac:dyDescent="0.25">
      <c r="A130" s="3" t="s">
        <v>126</v>
      </c>
      <c r="B130" s="4">
        <f>4994</f>
        <v>4994</v>
      </c>
      <c r="C130" s="5"/>
    </row>
    <row r="131" spans="1:3" x14ac:dyDescent="0.25">
      <c r="A131" s="3" t="s">
        <v>127</v>
      </c>
      <c r="B131" s="4">
        <f>8488.25</f>
        <v>8488.25</v>
      </c>
      <c r="C131" s="5"/>
    </row>
    <row r="132" spans="1:3" x14ac:dyDescent="0.25">
      <c r="A132" s="3" t="s">
        <v>128</v>
      </c>
      <c r="B132" s="4">
        <f>2418.37</f>
        <v>2418.37</v>
      </c>
      <c r="C132" s="5"/>
    </row>
    <row r="133" spans="1:3" x14ac:dyDescent="0.25">
      <c r="A133" s="3" t="s">
        <v>129</v>
      </c>
      <c r="B133" s="4">
        <f>15395.41</f>
        <v>15395.41</v>
      </c>
      <c r="C133" s="5"/>
    </row>
    <row r="134" spans="1:3" x14ac:dyDescent="0.25">
      <c r="A134" s="3" t="s">
        <v>130</v>
      </c>
      <c r="B134" s="4">
        <f>1519.17</f>
        <v>1519.17</v>
      </c>
      <c r="C134" s="5"/>
    </row>
    <row r="135" spans="1:3" x14ac:dyDescent="0.25">
      <c r="A135" s="3" t="s">
        <v>131</v>
      </c>
      <c r="B135" s="4">
        <f>1020</f>
        <v>1020</v>
      </c>
      <c r="C135" s="5"/>
    </row>
    <row r="136" spans="1:3" x14ac:dyDescent="0.25">
      <c r="A136" s="3" t="s">
        <v>132</v>
      </c>
      <c r="B136" s="4">
        <f>2845.09</f>
        <v>2845.09</v>
      </c>
      <c r="C136" s="5"/>
    </row>
    <row r="137" spans="1:3" x14ac:dyDescent="0.25">
      <c r="A137" s="3" t="s">
        <v>133</v>
      </c>
      <c r="B137" s="4">
        <f>65154.06</f>
        <v>65154.06</v>
      </c>
      <c r="C137" s="5"/>
    </row>
    <row r="138" spans="1:3" x14ac:dyDescent="0.25">
      <c r="A138" s="3" t="s">
        <v>134</v>
      </c>
      <c r="B138" s="4">
        <f>1239.45</f>
        <v>1239.45</v>
      </c>
      <c r="C138" s="5"/>
    </row>
    <row r="139" spans="1:3" x14ac:dyDescent="0.25">
      <c r="A139" s="3" t="s">
        <v>135</v>
      </c>
      <c r="B139" s="4">
        <f>6764</f>
        <v>6764</v>
      </c>
      <c r="C139" s="5"/>
    </row>
    <row r="140" spans="1:3" x14ac:dyDescent="0.25">
      <c r="A140" s="3" t="s">
        <v>136</v>
      </c>
      <c r="B140" s="4">
        <f>3594.03</f>
        <v>3594.03</v>
      </c>
      <c r="C140" s="5"/>
    </row>
    <row r="141" spans="1:3" x14ac:dyDescent="0.25">
      <c r="A141" s="3" t="s">
        <v>137</v>
      </c>
      <c r="B141" s="4">
        <f>275</f>
        <v>275</v>
      </c>
      <c r="C141" s="5"/>
    </row>
    <row r="142" spans="1:3" x14ac:dyDescent="0.25">
      <c r="A142" s="3" t="s">
        <v>138</v>
      </c>
      <c r="B142" s="4">
        <f>17366.53</f>
        <v>17366.53</v>
      </c>
      <c r="C142" s="5"/>
    </row>
    <row r="143" spans="1:3" x14ac:dyDescent="0.25">
      <c r="A143" s="3" t="s">
        <v>139</v>
      </c>
      <c r="B143" s="4">
        <f>500</f>
        <v>500</v>
      </c>
      <c r="C143" s="5"/>
    </row>
    <row r="144" spans="1:3" x14ac:dyDescent="0.25">
      <c r="A144" s="3" t="s">
        <v>140</v>
      </c>
      <c r="B144" s="4">
        <f>1471.64</f>
        <v>1471.64</v>
      </c>
      <c r="C144" s="5"/>
    </row>
    <row r="145" spans="1:3" x14ac:dyDescent="0.25">
      <c r="A145" s="3" t="s">
        <v>141</v>
      </c>
      <c r="B145" s="4">
        <f>6721.4</f>
        <v>6721.4</v>
      </c>
      <c r="C145" s="5"/>
    </row>
    <row r="146" spans="1:3" x14ac:dyDescent="0.25">
      <c r="A146" s="3" t="s">
        <v>142</v>
      </c>
      <c r="B146" s="4">
        <f>37663.89</f>
        <v>37663.89</v>
      </c>
      <c r="C146" s="5"/>
    </row>
    <row r="147" spans="1:3" x14ac:dyDescent="0.25">
      <c r="A147" s="3" t="s">
        <v>143</v>
      </c>
      <c r="B147" s="4">
        <f>101479.96</f>
        <v>101479.96</v>
      </c>
      <c r="C147" s="5"/>
    </row>
    <row r="148" spans="1:3" x14ac:dyDescent="0.25">
      <c r="A148" s="3" t="s">
        <v>144</v>
      </c>
      <c r="B148" s="4">
        <f>195.98</f>
        <v>195.98</v>
      </c>
      <c r="C148" s="5"/>
    </row>
    <row r="149" spans="1:3" x14ac:dyDescent="0.25">
      <c r="A149" s="3" t="s">
        <v>145</v>
      </c>
      <c r="B149" s="6">
        <f>((((((((((((((((((((((((((((((((((((((((((((((((((((((((((((((((((((((((((((((((((((((((((((((((((((((((((((((((((((((((((((((((((((((((((((((B6)+(B7))+(B8))+(B9))+(B10))+(B11))+(B12))+(B13))+(B14))+(B15))+(B16))+(B17))+(B18))+(B19))+(B20))+(B21))+(B22))+(B23))+(B24))+(B25))+(B26))+(B27))+(B28))+(B29))+(B30))+(B31))+(B32))+(B33))+(B34))+(B35))+(B36))+(B37))+(B38))+(B39))+(B40))+(B41))+(B42))+(B43))+(B44))+(B45))+(B46))+(B47))+(B48))+(B49))+(B50))+(B51))+(B52))+(B53))+(B54))+(B55))+(B56))+(B57))+(B58))+(B59))+(B60))+(B61))+(B62))+(B63))+(B64))+(B65))+(B66))+(B67))+(B68))+(B69))+(B70))+(B71))+(B72))+(B73))+(B74))+(B75))+(B76))+(B77))+(B78))+(B79))+(B80))+(B81))+(B82))+(B83))+(B84))+(B85))+(B86))+(B87))+(B88))+(B89))+(B90))+(B91))+(B92))+(B93))+(B94))+(B95))+(B96))+(B97))+(B98))+(B99))+(B100))+(B101))+(B102))+(B103))+(B104))+(B105))+(B106))+(B107))+(B108))+(B109))+(B110))+(B111))+(B112))+(B113))+(B114))+(B115))+(B116))+(B117))+(B118))+(B119))+(B120))+(B121))+(B122))+(B123))+(B124))+(B125))+(B126))+(B127))+(B128))+(B129))+(B130))+(B131))+(B132))+(B133))+(B134))+(B135))+(B136))+(B137))+(B138))+(B139))+(B140))+(B141))+(B142))+(B143))+(B144))+(B145))+(B146))+(B147))+(B148)</f>
        <v>10470000.539999999</v>
      </c>
      <c r="C149" s="6">
        <f>((((((((((((((((((((((((((((((((((((((((((((((((((((((((((((((((((((((((((((((((((((((((((((((((((((((((((((((((((((((((((((((((((((((((((((((C6)+(C7))+(C8))+(C9))+(C10))+(C11))+(C12))+(C13))+(C14))+(C15))+(C16))+(C17))+(C18))+(C19))+(C20))+(C21))+(C22))+(C23))+(C24))+(C25))+(C26))+(C27))+(C28))+(C29))+(C30))+(C31))+(C32))+(C33))+(C34))+(C35))+(C36))+(C37))+(C38))+(C39))+(C40))+(C41))+(C42))+(C43))+(C44))+(C45))+(C46))+(C47))+(C48))+(C49))+(C50))+(C51))+(C52))+(C53))+(C54))+(C55))+(C56))+(C57))+(C58))+(C59))+(C60))+(C61))+(C62))+(C63))+(C64))+(C65))+(C66))+(C67))+(C68))+(C69))+(C70))+(C71))+(C72))+(C73))+(C74))+(C75))+(C76))+(C77))+(C78))+(C79))+(C80))+(C81))+(C82))+(C83))+(C84))+(C85))+(C86))+(C87))+(C88))+(C89))+(C90))+(C91))+(C92))+(C93))+(C94))+(C95))+(C96))+(C97))+(C98))+(C99))+(C100))+(C101))+(C102))+(C103))+(C104))+(C105))+(C106))+(C107))+(C108))+(C109))+(C110))+(C111))+(C112))+(C113))+(C114))+(C115))+(C116))+(C117))+(C118))+(C119))+(C120))+(C121))+(C122))+(C123))+(C124))+(C125))+(C126))+(C127))+(C128))+(C129))+(C130))+(C131))+(C132))+(C133))+(C134))+(C135))+(C136))+(C137))+(C138))+(C139))+(C140))+(C141))+(C142))+(C143))+(C144))+(C145))+(C146))+(C147))+(C148)</f>
        <v>10470000.539999997</v>
      </c>
    </row>
    <row r="150" spans="1:3" x14ac:dyDescent="0.25">
      <c r="A150" s="3"/>
      <c r="B150" s="5"/>
      <c r="C150" s="5"/>
    </row>
    <row r="153" spans="1:3" x14ac:dyDescent="0.25">
      <c r="A153" s="19" t="s">
        <v>146</v>
      </c>
      <c r="B153" s="17"/>
      <c r="C153" s="17"/>
    </row>
  </sheetData>
  <mergeCells count="4">
    <mergeCell ref="A153:C153"/>
    <mergeCell ref="A1:C1"/>
    <mergeCell ref="A2:C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062F6-C0D8-4E30-86A0-F9619011A449}">
  <dimension ref="A1:G13"/>
  <sheetViews>
    <sheetView workbookViewId="0">
      <selection activeCell="J18" sqref="J18"/>
    </sheetView>
  </sheetViews>
  <sheetFormatPr defaultRowHeight="15" x14ac:dyDescent="0.25"/>
  <cols>
    <col min="1" max="1" width="27.42578125" customWidth="1"/>
    <col min="2" max="2" width="10.28515625" customWidth="1"/>
    <col min="3" max="3" width="8.5703125" customWidth="1"/>
    <col min="4" max="5" width="7.7109375" customWidth="1"/>
    <col min="6" max="6" width="8.5703125" customWidth="1"/>
    <col min="7" max="7" width="10.28515625" customWidth="1"/>
  </cols>
  <sheetData>
    <row r="1" spans="1:7" ht="18" x14ac:dyDescent="0.25">
      <c r="A1" s="16" t="s">
        <v>147</v>
      </c>
      <c r="B1" s="17"/>
      <c r="C1" s="17"/>
      <c r="D1" s="17"/>
      <c r="E1" s="17"/>
      <c r="F1" s="17"/>
      <c r="G1" s="17"/>
    </row>
    <row r="2" spans="1:7" ht="18" x14ac:dyDescent="0.25">
      <c r="A2" s="16" t="s">
        <v>179</v>
      </c>
      <c r="B2" s="17"/>
      <c r="C2" s="17"/>
      <c r="D2" s="17"/>
      <c r="E2" s="17"/>
      <c r="F2" s="17"/>
      <c r="G2" s="17"/>
    </row>
    <row r="3" spans="1:7" x14ac:dyDescent="0.25">
      <c r="A3" s="18" t="s">
        <v>149</v>
      </c>
      <c r="B3" s="17"/>
      <c r="C3" s="17"/>
      <c r="D3" s="17"/>
      <c r="E3" s="17"/>
      <c r="F3" s="17"/>
      <c r="G3" s="17"/>
    </row>
    <row r="5" spans="1:7" ht="24.75" x14ac:dyDescent="0.25">
      <c r="A5" s="1"/>
      <c r="B5" s="2" t="s">
        <v>151</v>
      </c>
      <c r="C5" s="2" t="s">
        <v>152</v>
      </c>
      <c r="D5" s="2" t="s">
        <v>153</v>
      </c>
      <c r="E5" s="2" t="s">
        <v>154</v>
      </c>
      <c r="F5" s="2" t="s">
        <v>155</v>
      </c>
      <c r="G5" s="2" t="s">
        <v>156</v>
      </c>
    </row>
    <row r="6" spans="1:7" ht="23.25" x14ac:dyDescent="0.25">
      <c r="A6" s="3" t="s">
        <v>180</v>
      </c>
      <c r="B6" s="4">
        <f>765032.04</f>
        <v>765032.04</v>
      </c>
      <c r="C6" s="5"/>
      <c r="D6" s="5"/>
      <c r="E6" s="5"/>
      <c r="F6" s="4">
        <f>7604.97</f>
        <v>7604.97</v>
      </c>
      <c r="G6" s="4">
        <f>((((B6)+(C6))+(D6))+(E6))+(F6)</f>
        <v>772637.01</v>
      </c>
    </row>
    <row r="7" spans="1:7" x14ac:dyDescent="0.25">
      <c r="A7" s="3" t="s">
        <v>181</v>
      </c>
      <c r="B7" s="5"/>
      <c r="C7" s="4">
        <f>400</f>
        <v>400</v>
      </c>
      <c r="D7" s="5"/>
      <c r="E7" s="5"/>
      <c r="F7" s="5"/>
      <c r="G7" s="4">
        <f>((((B7)+(C7))+(D7))+(E7))+(F7)</f>
        <v>400</v>
      </c>
    </row>
    <row r="8" spans="1:7" x14ac:dyDescent="0.25">
      <c r="A8" s="3" t="s">
        <v>182</v>
      </c>
      <c r="B8" s="5"/>
      <c r="C8" s="4">
        <f>1300</f>
        <v>1300</v>
      </c>
      <c r="D8" s="5"/>
      <c r="E8" s="5"/>
      <c r="F8" s="5"/>
      <c r="G8" s="4">
        <f>((((B8)+(C8))+(D8))+(E8))+(F8)</f>
        <v>1300</v>
      </c>
    </row>
    <row r="9" spans="1:7" x14ac:dyDescent="0.25">
      <c r="A9" s="3" t="s">
        <v>145</v>
      </c>
      <c r="B9" s="6">
        <f>((B6)+(B7))+(B8)</f>
        <v>765032.04</v>
      </c>
      <c r="C9" s="6">
        <f>((C6)+(C7))+(C8)</f>
        <v>1700</v>
      </c>
      <c r="D9" s="6">
        <f>((D6)+(D7))+(D8)</f>
        <v>0</v>
      </c>
      <c r="E9" s="6">
        <f>((E6)+(E7))+(E8)</f>
        <v>0</v>
      </c>
      <c r="F9" s="6">
        <f>((F6)+(F7))+(F8)</f>
        <v>7604.97</v>
      </c>
      <c r="G9" s="6">
        <f>((((B9)+(C9))+(D9))+(E9))+(F9)</f>
        <v>774337.01</v>
      </c>
    </row>
    <row r="10" spans="1:7" x14ac:dyDescent="0.25">
      <c r="A10" s="3"/>
      <c r="B10" s="5"/>
      <c r="C10" s="5"/>
      <c r="D10" s="5"/>
      <c r="E10" s="5"/>
      <c r="F10" s="5"/>
      <c r="G10" s="5"/>
    </row>
    <row r="13" spans="1:7" x14ac:dyDescent="0.25">
      <c r="A13" s="19" t="s">
        <v>183</v>
      </c>
      <c r="B13" s="17"/>
      <c r="C13" s="17"/>
      <c r="D13" s="17"/>
      <c r="E13" s="17"/>
      <c r="F13" s="17"/>
      <c r="G13" s="17"/>
    </row>
  </sheetData>
  <mergeCells count="4">
    <mergeCell ref="A1:G1"/>
    <mergeCell ref="A2:G2"/>
    <mergeCell ref="A3:G3"/>
    <mergeCell ref="A13:G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C05D1-76B1-433F-A562-27CE32D94C09}">
  <dimension ref="A1:J23"/>
  <sheetViews>
    <sheetView workbookViewId="0"/>
  </sheetViews>
  <sheetFormatPr defaultRowHeight="15" x14ac:dyDescent="0.25"/>
  <cols>
    <col min="2" max="2" width="24.85546875" bestFit="1" customWidth="1"/>
    <col min="3" max="3" width="9.28515625" style="12" bestFit="1" customWidth="1"/>
    <col min="4" max="4" width="11.28515625" style="12" bestFit="1" customWidth="1"/>
    <col min="5" max="8" width="9.28515625" style="12" bestFit="1" customWidth="1"/>
    <col min="9" max="9" width="9.28515625" style="15" bestFit="1" customWidth="1"/>
    <col min="10" max="10" width="11.5703125" style="12" bestFit="1" customWidth="1"/>
  </cols>
  <sheetData>
    <row r="1" spans="1:10" x14ac:dyDescent="0.25">
      <c r="B1" t="s">
        <v>534</v>
      </c>
      <c r="D1" t="s">
        <v>535</v>
      </c>
      <c r="E1" s="15" t="s">
        <v>536</v>
      </c>
      <c r="F1" s="15" t="s">
        <v>537</v>
      </c>
      <c r="G1" s="15" t="s">
        <v>538</v>
      </c>
      <c r="H1" s="15" t="s">
        <v>539</v>
      </c>
      <c r="I1" s="15" t="s">
        <v>540</v>
      </c>
      <c r="J1" s="15" t="s">
        <v>541</v>
      </c>
    </row>
    <row r="3" spans="1:10" x14ac:dyDescent="0.25">
      <c r="A3" s="10" t="s">
        <v>519</v>
      </c>
      <c r="B3" s="10" t="s">
        <v>520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400</v>
      </c>
      <c r="J3" s="14">
        <v>400</v>
      </c>
    </row>
    <row r="4" spans="1:10" x14ac:dyDescent="0.25">
      <c r="A4" s="10" t="s">
        <v>519</v>
      </c>
      <c r="B4" s="10" t="s">
        <v>521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7204.97</v>
      </c>
      <c r="J4" s="14">
        <v>7204.97</v>
      </c>
    </row>
    <row r="5" spans="1:10" x14ac:dyDescent="0.25">
      <c r="I5" s="12"/>
      <c r="J5" s="15"/>
    </row>
    <row r="6" spans="1:10" x14ac:dyDescent="0.25">
      <c r="A6" s="10" t="s">
        <v>522</v>
      </c>
      <c r="I6" s="12"/>
      <c r="J6" s="15">
        <f>SUM(J3:J5)</f>
        <v>7604.97</v>
      </c>
    </row>
    <row r="10" spans="1:10" x14ac:dyDescent="0.25">
      <c r="A10" s="11" t="s">
        <v>523</v>
      </c>
      <c r="B10" s="11" t="s">
        <v>521</v>
      </c>
      <c r="C10" s="14">
        <v>1966.95</v>
      </c>
      <c r="D10" s="14">
        <v>572708.92000000004</v>
      </c>
      <c r="E10" s="14">
        <v>0</v>
      </c>
      <c r="F10" s="14">
        <v>4346.99</v>
      </c>
      <c r="G10" s="14">
        <v>1295.1500000000001</v>
      </c>
      <c r="H10" s="14">
        <v>0</v>
      </c>
      <c r="I10" s="14">
        <v>0</v>
      </c>
      <c r="J10" s="14">
        <v>580318.01</v>
      </c>
    </row>
    <row r="11" spans="1:10" x14ac:dyDescent="0.25">
      <c r="A11" s="11" t="s">
        <v>523</v>
      </c>
      <c r="B11" s="11" t="s">
        <v>524</v>
      </c>
      <c r="C11" s="14">
        <v>0</v>
      </c>
      <c r="D11" s="14">
        <v>88792.68</v>
      </c>
      <c r="E11" s="14">
        <v>0</v>
      </c>
      <c r="F11" s="14">
        <v>776.46</v>
      </c>
      <c r="G11" s="14">
        <v>0</v>
      </c>
      <c r="H11" s="14">
        <v>0</v>
      </c>
      <c r="I11" s="14">
        <v>0</v>
      </c>
      <c r="J11" s="14">
        <v>89569.14</v>
      </c>
    </row>
    <row r="12" spans="1:10" x14ac:dyDescent="0.25">
      <c r="A12" s="11" t="s">
        <v>523</v>
      </c>
      <c r="B12" s="11" t="s">
        <v>525</v>
      </c>
      <c r="C12" s="14">
        <v>281.04000000000002</v>
      </c>
      <c r="D12" s="14">
        <v>51284.18</v>
      </c>
      <c r="E12" s="14">
        <v>-635.91</v>
      </c>
      <c r="F12" s="14">
        <v>1423.63</v>
      </c>
      <c r="G12" s="14">
        <v>1124.07</v>
      </c>
      <c r="H12" s="14">
        <v>0</v>
      </c>
      <c r="I12" s="14">
        <v>0</v>
      </c>
      <c r="J12" s="14">
        <v>53477.01</v>
      </c>
    </row>
    <row r="13" spans="1:10" x14ac:dyDescent="0.25">
      <c r="A13" s="11" t="s">
        <v>523</v>
      </c>
      <c r="B13" s="11" t="s">
        <v>526</v>
      </c>
      <c r="C13" s="14">
        <v>0</v>
      </c>
      <c r="D13" s="14">
        <v>29110.03</v>
      </c>
      <c r="E13" s="14">
        <v>0</v>
      </c>
      <c r="F13" s="14">
        <v>337.79</v>
      </c>
      <c r="G13" s="14">
        <v>1013.37</v>
      </c>
      <c r="H13" s="14">
        <v>0</v>
      </c>
      <c r="I13" s="14">
        <v>0</v>
      </c>
      <c r="J13" s="14">
        <v>30461.19</v>
      </c>
    </row>
    <row r="14" spans="1:10" x14ac:dyDescent="0.25">
      <c r="A14" s="11" t="s">
        <v>523</v>
      </c>
      <c r="B14" s="11" t="s">
        <v>520</v>
      </c>
      <c r="C14" s="14">
        <v>150</v>
      </c>
      <c r="D14" s="14">
        <v>2974.88</v>
      </c>
      <c r="E14" s="14">
        <v>-120.91</v>
      </c>
      <c r="F14" s="14">
        <v>160</v>
      </c>
      <c r="G14" s="14">
        <v>724.34</v>
      </c>
      <c r="H14" s="14">
        <v>1000.42</v>
      </c>
      <c r="I14" s="14">
        <v>0</v>
      </c>
      <c r="J14" s="14">
        <v>4888.7299999999996</v>
      </c>
    </row>
    <row r="15" spans="1:10" x14ac:dyDescent="0.25">
      <c r="A15" s="11" t="s">
        <v>523</v>
      </c>
      <c r="B15" s="11" t="s">
        <v>527</v>
      </c>
      <c r="C15" s="14">
        <v>0</v>
      </c>
      <c r="D15" s="14">
        <v>2225.66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2225.66</v>
      </c>
    </row>
    <row r="16" spans="1:10" x14ac:dyDescent="0.25">
      <c r="A16" s="11" t="s">
        <v>523</v>
      </c>
      <c r="B16" s="11" t="s">
        <v>528</v>
      </c>
      <c r="C16" s="14">
        <v>0</v>
      </c>
      <c r="D16" s="14">
        <v>825</v>
      </c>
      <c r="E16" s="14">
        <v>0</v>
      </c>
      <c r="F16" s="14">
        <v>0</v>
      </c>
      <c r="G16" s="14">
        <v>375</v>
      </c>
      <c r="H16" s="14">
        <v>450</v>
      </c>
      <c r="I16" s="14">
        <v>0</v>
      </c>
      <c r="J16" s="14">
        <v>1650</v>
      </c>
    </row>
    <row r="17" spans="1:10" x14ac:dyDescent="0.25">
      <c r="A17" s="11" t="s">
        <v>523</v>
      </c>
      <c r="B17" s="11" t="s">
        <v>529</v>
      </c>
      <c r="C17" s="14">
        <v>100</v>
      </c>
      <c r="D17" s="14">
        <v>1100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1200</v>
      </c>
    </row>
    <row r="18" spans="1:10" x14ac:dyDescent="0.25">
      <c r="A18" s="11" t="s">
        <v>523</v>
      </c>
      <c r="B18" s="11" t="s">
        <v>530</v>
      </c>
      <c r="C18" s="14">
        <v>0</v>
      </c>
      <c r="D18" s="14">
        <v>1000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1000</v>
      </c>
    </row>
    <row r="19" spans="1:10" x14ac:dyDescent="0.25">
      <c r="A19" s="11" t="s">
        <v>523</v>
      </c>
      <c r="B19" s="11" t="s">
        <v>531</v>
      </c>
      <c r="C19" s="14">
        <v>100</v>
      </c>
      <c r="D19" s="14">
        <v>142.30000000000001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242.3</v>
      </c>
    </row>
    <row r="21" spans="1:10" x14ac:dyDescent="0.25">
      <c r="A21" s="11" t="s">
        <v>532</v>
      </c>
      <c r="J21" s="12">
        <f>SUM(J10:J20)</f>
        <v>765032.04</v>
      </c>
    </row>
    <row r="23" spans="1:10" x14ac:dyDescent="0.25">
      <c r="A23" s="11" t="s">
        <v>533</v>
      </c>
      <c r="J23" s="12">
        <f>+J21+J6</f>
        <v>772637.01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0D96F-8BF4-4B3C-8F4D-778893FC7EED}">
  <dimension ref="A1:G31"/>
  <sheetViews>
    <sheetView workbookViewId="0">
      <selection sqref="A1:G1"/>
    </sheetView>
  </sheetViews>
  <sheetFormatPr defaultRowHeight="15" x14ac:dyDescent="0.25"/>
  <cols>
    <col min="1" max="1" width="36.140625" customWidth="1"/>
    <col min="2" max="2" width="9.42578125" customWidth="1"/>
    <col min="3" max="3" width="8.5703125" customWidth="1"/>
    <col min="4" max="6" width="7.7109375" customWidth="1"/>
    <col min="7" max="7" width="9.42578125" customWidth="1"/>
  </cols>
  <sheetData>
    <row r="1" spans="1:7" ht="18" x14ac:dyDescent="0.25">
      <c r="A1" s="16" t="s">
        <v>147</v>
      </c>
      <c r="B1" s="17"/>
      <c r="C1" s="17"/>
      <c r="D1" s="17"/>
      <c r="E1" s="17"/>
      <c r="F1" s="17"/>
      <c r="G1" s="17"/>
    </row>
    <row r="2" spans="1:7" ht="18" x14ac:dyDescent="0.25">
      <c r="A2" s="16" t="s">
        <v>150</v>
      </c>
      <c r="B2" s="17"/>
      <c r="C2" s="17"/>
      <c r="D2" s="17"/>
      <c r="E2" s="17"/>
      <c r="F2" s="17"/>
      <c r="G2" s="17"/>
    </row>
    <row r="3" spans="1:7" x14ac:dyDescent="0.25">
      <c r="A3" s="18" t="s">
        <v>149</v>
      </c>
      <c r="B3" s="17"/>
      <c r="C3" s="17"/>
      <c r="D3" s="17"/>
      <c r="E3" s="17"/>
      <c r="F3" s="17"/>
      <c r="G3" s="17"/>
    </row>
    <row r="5" spans="1:7" ht="24.75" x14ac:dyDescent="0.25">
      <c r="A5" s="1"/>
      <c r="B5" s="2" t="s">
        <v>151</v>
      </c>
      <c r="C5" s="2" t="s">
        <v>152</v>
      </c>
      <c r="D5" s="2" t="s">
        <v>153</v>
      </c>
      <c r="E5" s="2" t="s">
        <v>154</v>
      </c>
      <c r="F5" s="2" t="s">
        <v>155</v>
      </c>
      <c r="G5" s="2" t="s">
        <v>156</v>
      </c>
    </row>
    <row r="6" spans="1:7" x14ac:dyDescent="0.25">
      <c r="A6" s="3" t="s">
        <v>157</v>
      </c>
      <c r="B6" s="5"/>
      <c r="C6" s="4">
        <f>90</f>
        <v>90</v>
      </c>
      <c r="D6" s="5"/>
      <c r="E6" s="5"/>
      <c r="F6" s="5"/>
      <c r="G6" s="4">
        <f t="shared" ref="G6:G27" si="0">((((B6)+(C6))+(D6))+(E6))+(F6)</f>
        <v>90</v>
      </c>
    </row>
    <row r="7" spans="1:7" x14ac:dyDescent="0.25">
      <c r="A7" s="3" t="s">
        <v>158</v>
      </c>
      <c r="B7" s="4">
        <f>139.4</f>
        <v>139.4</v>
      </c>
      <c r="C7" s="5"/>
      <c r="D7" s="5"/>
      <c r="E7" s="5"/>
      <c r="F7" s="5"/>
      <c r="G7" s="4">
        <f t="shared" si="0"/>
        <v>139.4</v>
      </c>
    </row>
    <row r="8" spans="1:7" x14ac:dyDescent="0.25">
      <c r="A8" s="3" t="s">
        <v>159</v>
      </c>
      <c r="B8" s="5"/>
      <c r="C8" s="4">
        <f>4000</f>
        <v>4000</v>
      </c>
      <c r="D8" s="5"/>
      <c r="E8" s="5"/>
      <c r="F8" s="5"/>
      <c r="G8" s="4">
        <f t="shared" si="0"/>
        <v>4000</v>
      </c>
    </row>
    <row r="9" spans="1:7" x14ac:dyDescent="0.25">
      <c r="A9" s="3" t="s">
        <v>160</v>
      </c>
      <c r="B9" s="4">
        <f>1476</f>
        <v>1476</v>
      </c>
      <c r="C9" s="5"/>
      <c r="D9" s="5"/>
      <c r="E9" s="5"/>
      <c r="F9" s="5"/>
      <c r="G9" s="4">
        <f t="shared" si="0"/>
        <v>1476</v>
      </c>
    </row>
    <row r="10" spans="1:7" x14ac:dyDescent="0.25">
      <c r="A10" s="3" t="s">
        <v>161</v>
      </c>
      <c r="B10" s="4">
        <f>1297.22</f>
        <v>1297.22</v>
      </c>
      <c r="C10" s="5"/>
      <c r="D10" s="5"/>
      <c r="E10" s="5"/>
      <c r="F10" s="5"/>
      <c r="G10" s="4">
        <f t="shared" si="0"/>
        <v>1297.22</v>
      </c>
    </row>
    <row r="11" spans="1:7" x14ac:dyDescent="0.25">
      <c r="A11" s="3" t="s">
        <v>162</v>
      </c>
      <c r="B11" s="4">
        <f>303.4</f>
        <v>303.39999999999998</v>
      </c>
      <c r="C11" s="5"/>
      <c r="D11" s="5"/>
      <c r="E11" s="5"/>
      <c r="F11" s="5"/>
      <c r="G11" s="4">
        <f t="shared" si="0"/>
        <v>303.39999999999998</v>
      </c>
    </row>
    <row r="12" spans="1:7" x14ac:dyDescent="0.25">
      <c r="A12" s="3" t="s">
        <v>163</v>
      </c>
      <c r="B12" s="4">
        <f>3500</f>
        <v>3500</v>
      </c>
      <c r="C12" s="5"/>
      <c r="D12" s="5"/>
      <c r="E12" s="5"/>
      <c r="F12" s="5"/>
      <c r="G12" s="4">
        <f t="shared" si="0"/>
        <v>3500</v>
      </c>
    </row>
    <row r="13" spans="1:7" x14ac:dyDescent="0.25">
      <c r="A13" s="3" t="s">
        <v>164</v>
      </c>
      <c r="B13" s="4">
        <f>1272.76</f>
        <v>1272.76</v>
      </c>
      <c r="C13" s="5"/>
      <c r="D13" s="5"/>
      <c r="E13" s="5"/>
      <c r="F13" s="5"/>
      <c r="G13" s="4">
        <f t="shared" si="0"/>
        <v>1272.76</v>
      </c>
    </row>
    <row r="14" spans="1:7" x14ac:dyDescent="0.25">
      <c r="A14" s="3" t="s">
        <v>165</v>
      </c>
      <c r="B14" s="4">
        <f>123.93</f>
        <v>123.93</v>
      </c>
      <c r="C14" s="5"/>
      <c r="D14" s="5"/>
      <c r="E14" s="5"/>
      <c r="F14" s="5"/>
      <c r="G14" s="4">
        <f t="shared" si="0"/>
        <v>123.93</v>
      </c>
    </row>
    <row r="15" spans="1:7" x14ac:dyDescent="0.25">
      <c r="A15" s="3" t="s">
        <v>166</v>
      </c>
      <c r="B15" s="4">
        <f>7.5</f>
        <v>7.5</v>
      </c>
      <c r="C15" s="5"/>
      <c r="D15" s="5"/>
      <c r="E15" s="5"/>
      <c r="F15" s="5"/>
      <c r="G15" s="4">
        <f t="shared" si="0"/>
        <v>7.5</v>
      </c>
    </row>
    <row r="16" spans="1:7" x14ac:dyDescent="0.25">
      <c r="A16" s="3" t="s">
        <v>167</v>
      </c>
      <c r="B16" s="4">
        <f>387.5</f>
        <v>387.5</v>
      </c>
      <c r="C16" s="5"/>
      <c r="D16" s="5"/>
      <c r="E16" s="5"/>
      <c r="F16" s="5"/>
      <c r="G16" s="4">
        <f t="shared" si="0"/>
        <v>387.5</v>
      </c>
    </row>
    <row r="17" spans="1:7" x14ac:dyDescent="0.25">
      <c r="A17" s="3" t="s">
        <v>168</v>
      </c>
      <c r="B17" s="4">
        <f>2100.4</f>
        <v>2100.4</v>
      </c>
      <c r="C17" s="5"/>
      <c r="D17" s="5"/>
      <c r="E17" s="5"/>
      <c r="F17" s="5"/>
      <c r="G17" s="4">
        <f t="shared" si="0"/>
        <v>2100.4</v>
      </c>
    </row>
    <row r="18" spans="1:7" x14ac:dyDescent="0.25">
      <c r="A18" s="3" t="s">
        <v>169</v>
      </c>
      <c r="B18" s="4">
        <f>3499.48</f>
        <v>3499.48</v>
      </c>
      <c r="C18" s="5"/>
      <c r="D18" s="5"/>
      <c r="E18" s="5"/>
      <c r="F18" s="5"/>
      <c r="G18" s="4">
        <f t="shared" si="0"/>
        <v>3499.48</v>
      </c>
    </row>
    <row r="19" spans="1:7" x14ac:dyDescent="0.25">
      <c r="A19" s="3" t="s">
        <v>170</v>
      </c>
      <c r="B19" s="4">
        <f>11157.35</f>
        <v>11157.35</v>
      </c>
      <c r="C19" s="5"/>
      <c r="D19" s="5"/>
      <c r="E19" s="5"/>
      <c r="F19" s="5"/>
      <c r="G19" s="4">
        <f t="shared" si="0"/>
        <v>11157.35</v>
      </c>
    </row>
    <row r="20" spans="1:7" x14ac:dyDescent="0.25">
      <c r="A20" s="3" t="s">
        <v>171</v>
      </c>
      <c r="B20" s="4">
        <f>61.06</f>
        <v>61.06</v>
      </c>
      <c r="C20" s="5"/>
      <c r="D20" s="5"/>
      <c r="E20" s="5"/>
      <c r="F20" s="5"/>
      <c r="G20" s="4">
        <f t="shared" si="0"/>
        <v>61.06</v>
      </c>
    </row>
    <row r="21" spans="1:7" x14ac:dyDescent="0.25">
      <c r="A21" s="3" t="s">
        <v>172</v>
      </c>
      <c r="B21" s="4">
        <f>489.95</f>
        <v>489.95</v>
      </c>
      <c r="C21" s="5"/>
      <c r="D21" s="5"/>
      <c r="E21" s="5"/>
      <c r="F21" s="5"/>
      <c r="G21" s="4">
        <f t="shared" si="0"/>
        <v>489.95</v>
      </c>
    </row>
    <row r="22" spans="1:7" x14ac:dyDescent="0.25">
      <c r="A22" s="3" t="s">
        <v>173</v>
      </c>
      <c r="B22" s="4">
        <f>661.5</f>
        <v>661.5</v>
      </c>
      <c r="C22" s="5"/>
      <c r="D22" s="5"/>
      <c r="E22" s="5"/>
      <c r="F22" s="5"/>
      <c r="G22" s="4">
        <f t="shared" si="0"/>
        <v>661.5</v>
      </c>
    </row>
    <row r="23" spans="1:7" x14ac:dyDescent="0.25">
      <c r="A23" s="3" t="s">
        <v>174</v>
      </c>
      <c r="B23" s="4">
        <f>4110.25</f>
        <v>4110.25</v>
      </c>
      <c r="C23" s="5"/>
      <c r="D23" s="5"/>
      <c r="E23" s="5"/>
      <c r="F23" s="5"/>
      <c r="G23" s="4">
        <f t="shared" si="0"/>
        <v>4110.25</v>
      </c>
    </row>
    <row r="24" spans="1:7" x14ac:dyDescent="0.25">
      <c r="A24" s="3" t="s">
        <v>175</v>
      </c>
      <c r="B24" s="4">
        <f>416.31</f>
        <v>416.31</v>
      </c>
      <c r="C24" s="5"/>
      <c r="D24" s="5"/>
      <c r="E24" s="5"/>
      <c r="F24" s="5"/>
      <c r="G24" s="4">
        <f t="shared" si="0"/>
        <v>416.31</v>
      </c>
    </row>
    <row r="25" spans="1:7" x14ac:dyDescent="0.25">
      <c r="A25" s="3" t="s">
        <v>176</v>
      </c>
      <c r="B25" s="4">
        <f>1697.65</f>
        <v>1697.65</v>
      </c>
      <c r="C25" s="5"/>
      <c r="D25" s="5"/>
      <c r="E25" s="5"/>
      <c r="F25" s="5"/>
      <c r="G25" s="4">
        <f t="shared" si="0"/>
        <v>1697.65</v>
      </c>
    </row>
    <row r="26" spans="1:7" x14ac:dyDescent="0.25">
      <c r="A26" s="3" t="s">
        <v>177</v>
      </c>
      <c r="B26" s="4">
        <f>4828.31</f>
        <v>4828.3100000000004</v>
      </c>
      <c r="C26" s="5"/>
      <c r="D26" s="5"/>
      <c r="E26" s="5"/>
      <c r="F26" s="5"/>
      <c r="G26" s="4">
        <f t="shared" si="0"/>
        <v>4828.3100000000004</v>
      </c>
    </row>
    <row r="27" spans="1:7" x14ac:dyDescent="0.25">
      <c r="A27" s="3" t="s">
        <v>145</v>
      </c>
      <c r="B27" s="6">
        <f>((((((((((((((((((((B6)+(B7))+(B8))+(B9))+(B10))+(B11))+(B12))+(B13))+(B14))+(B15))+(B16))+(B17))+(B18))+(B19))+(B20))+(B21))+(B22))+(B23))+(B24))+(B25))+(B26)</f>
        <v>37529.970000000008</v>
      </c>
      <c r="C27" s="6">
        <f>((((((((((((((((((((C6)+(C7))+(C8))+(C9))+(C10))+(C11))+(C12))+(C13))+(C14))+(C15))+(C16))+(C17))+(C18))+(C19))+(C20))+(C21))+(C22))+(C23))+(C24))+(C25))+(C26)</f>
        <v>4090</v>
      </c>
      <c r="D27" s="6">
        <f>((((((((((((((((((((D6)+(D7))+(D8))+(D9))+(D10))+(D11))+(D12))+(D13))+(D14))+(D15))+(D16))+(D17))+(D18))+(D19))+(D20))+(D21))+(D22))+(D23))+(D24))+(D25))+(D26)</f>
        <v>0</v>
      </c>
      <c r="E27" s="6">
        <f>((((((((((((((((((((E6)+(E7))+(E8))+(E9))+(E10))+(E11))+(E12))+(E13))+(E14))+(E15))+(E16))+(E17))+(E18))+(E19))+(E20))+(E21))+(E22))+(E23))+(E24))+(E25))+(E26)</f>
        <v>0</v>
      </c>
      <c r="F27" s="6">
        <f>((((((((((((((((((((F6)+(F7))+(F8))+(F9))+(F10))+(F11))+(F12))+(F13))+(F14))+(F15))+(F16))+(F17))+(F18))+(F19))+(F20))+(F21))+(F22))+(F23))+(F24))+(F25))+(F26)</f>
        <v>0</v>
      </c>
      <c r="G27" s="6">
        <f t="shared" si="0"/>
        <v>41619.970000000008</v>
      </c>
    </row>
    <row r="28" spans="1:7" x14ac:dyDescent="0.25">
      <c r="A28" s="3"/>
      <c r="B28" s="5"/>
      <c r="C28" s="5"/>
      <c r="D28" s="5"/>
      <c r="E28" s="5"/>
      <c r="F28" s="5"/>
      <c r="G28" s="5"/>
    </row>
    <row r="31" spans="1:7" x14ac:dyDescent="0.25">
      <c r="A31" s="19" t="s">
        <v>178</v>
      </c>
      <c r="B31" s="17"/>
      <c r="C31" s="17"/>
      <c r="D31" s="17"/>
      <c r="E31" s="17"/>
      <c r="F31" s="17"/>
      <c r="G31" s="17"/>
    </row>
  </sheetData>
  <mergeCells count="4">
    <mergeCell ref="A1:G1"/>
    <mergeCell ref="A2:G2"/>
    <mergeCell ref="A3:G3"/>
    <mergeCell ref="A31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Profit &amp; Loss by Month</vt:lpstr>
      <vt:lpstr>P&amp;L by month with prior yr</vt:lpstr>
      <vt:lpstr>Balance Sheet</vt:lpstr>
      <vt:lpstr>Cash Flow Stmt</vt:lpstr>
      <vt:lpstr>Trial Balance</vt:lpstr>
      <vt:lpstr>AR Aging</vt:lpstr>
      <vt:lpstr>FACTS AR Detail</vt:lpstr>
      <vt:lpstr>AP Aging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Tina</cp:lastModifiedBy>
  <dcterms:created xsi:type="dcterms:W3CDTF">2021-01-11T20:53:18Z</dcterms:created>
  <dcterms:modified xsi:type="dcterms:W3CDTF">2021-01-11T21:51:46Z</dcterms:modified>
</cp:coreProperties>
</file>