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ndolph\Porch Writers\Budget\"/>
    </mc:Choice>
  </mc:AlternateContent>
  <xr:revisionPtr revIDLastSave="0" documentId="13_ncr:1_{63A4EC2A-1BA1-4F7F-B9B3-B5F0711517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llapsed" sheetId="1" r:id="rId1"/>
    <sheet name="Expanded" sheetId="2" r:id="rId2"/>
  </sheets>
  <calcPr calcId="191029"/>
</workbook>
</file>

<file path=xl/calcChain.xml><?xml version="1.0" encoding="utf-8"?>
<calcChain xmlns="http://schemas.openxmlformats.org/spreadsheetml/2006/main">
  <c r="B22" i="1" l="1"/>
  <c r="B23" i="1" s="1"/>
  <c r="B24" i="1" s="1"/>
  <c r="B18" i="1"/>
  <c r="B17" i="1"/>
  <c r="B19" i="1" s="1"/>
  <c r="B13" i="1"/>
  <c r="B14" i="1" s="1"/>
  <c r="B11" i="1"/>
  <c r="B10" i="1"/>
  <c r="B9" i="1"/>
  <c r="B8" i="1"/>
  <c r="B7" i="1"/>
  <c r="B216" i="2"/>
  <c r="B217" i="2" s="1"/>
  <c r="B218" i="2" s="1"/>
  <c r="B219" i="2" s="1"/>
  <c r="B209" i="2"/>
  <c r="B208" i="2"/>
  <c r="B207" i="2"/>
  <c r="B210" i="2" s="1"/>
  <c r="B206" i="2"/>
  <c r="B205" i="2"/>
  <c r="B204" i="2"/>
  <c r="B202" i="2"/>
  <c r="B199" i="2"/>
  <c r="B198" i="2"/>
  <c r="B197" i="2"/>
  <c r="B196" i="2"/>
  <c r="B200" i="2" s="1"/>
  <c r="B193" i="2"/>
  <c r="B192" i="2"/>
  <c r="B191" i="2"/>
  <c r="B189" i="2"/>
  <c r="B188" i="2"/>
  <c r="B187" i="2"/>
  <c r="B186" i="2"/>
  <c r="B190" i="2" s="1"/>
  <c r="B185" i="2"/>
  <c r="B182" i="2"/>
  <c r="B181" i="2"/>
  <c r="B183" i="2" s="1"/>
  <c r="B179" i="2"/>
  <c r="B178" i="2"/>
  <c r="B177" i="2"/>
  <c r="B176" i="2"/>
  <c r="B175" i="2"/>
  <c r="B174" i="2"/>
  <c r="B172" i="2"/>
  <c r="B171" i="2"/>
  <c r="B168" i="2"/>
  <c r="B167" i="2"/>
  <c r="B166" i="2"/>
  <c r="B165" i="2"/>
  <c r="B164" i="2"/>
  <c r="B169" i="2" s="1"/>
  <c r="B194" i="2" s="1"/>
  <c r="B211" i="2" s="1"/>
  <c r="B158" i="2"/>
  <c r="B157" i="2"/>
  <c r="B156" i="2"/>
  <c r="B159" i="2" s="1"/>
  <c r="B153" i="2"/>
  <c r="B152" i="2"/>
  <c r="B151" i="2"/>
  <c r="B150" i="2"/>
  <c r="B149" i="2"/>
  <c r="B148" i="2"/>
  <c r="B147" i="2"/>
  <c r="B146" i="2"/>
  <c r="B154" i="2" s="1"/>
  <c r="B160" i="2" s="1"/>
  <c r="B138" i="2"/>
  <c r="B137" i="2"/>
  <c r="B136" i="2"/>
  <c r="B135" i="2"/>
  <c r="B134" i="2"/>
  <c r="B133" i="2"/>
  <c r="B132" i="2"/>
  <c r="B139" i="2" s="1"/>
  <c r="B129" i="2"/>
  <c r="B127" i="2"/>
  <c r="B126" i="2"/>
  <c r="B128" i="2" s="1"/>
  <c r="B125" i="2"/>
  <c r="B123" i="2"/>
  <c r="B122" i="2"/>
  <c r="B120" i="2"/>
  <c r="B119" i="2"/>
  <c r="B121" i="2" s="1"/>
  <c r="B117" i="2"/>
  <c r="B116" i="2"/>
  <c r="B115" i="2"/>
  <c r="B113" i="2"/>
  <c r="B112" i="2"/>
  <c r="B114" i="2" s="1"/>
  <c r="B111" i="2"/>
  <c r="B109" i="2"/>
  <c r="B108" i="2"/>
  <c r="B110" i="2" s="1"/>
  <c r="B107" i="2"/>
  <c r="B106" i="2"/>
  <c r="B105" i="2"/>
  <c r="B104" i="2"/>
  <c r="B103" i="2"/>
  <c r="B102" i="2"/>
  <c r="B101" i="2"/>
  <c r="B100" i="2"/>
  <c r="B99" i="2"/>
  <c r="B96" i="2"/>
  <c r="B94" i="2"/>
  <c r="B93" i="2"/>
  <c r="B95" i="2" s="1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7" i="2"/>
  <c r="B70" i="2"/>
  <c r="B69" i="2"/>
  <c r="B68" i="2"/>
  <c r="B67" i="2"/>
  <c r="B66" i="2"/>
  <c r="B71" i="2" s="1"/>
  <c r="B64" i="2"/>
  <c r="B63" i="2"/>
  <c r="B62" i="2"/>
  <c r="B60" i="2"/>
  <c r="B59" i="2"/>
  <c r="B58" i="2"/>
  <c r="B57" i="2"/>
  <c r="B55" i="2"/>
  <c r="B54" i="2"/>
  <c r="B53" i="2"/>
  <c r="B56" i="2" s="1"/>
  <c r="B51" i="2"/>
  <c r="B50" i="2"/>
  <c r="B49" i="2"/>
  <c r="B48" i="2"/>
  <c r="B47" i="2"/>
  <c r="B46" i="2"/>
  <c r="B45" i="2"/>
  <c r="B44" i="2"/>
  <c r="B43" i="2"/>
  <c r="B42" i="2"/>
  <c r="B61" i="2" s="1"/>
  <c r="B40" i="2"/>
  <c r="B37" i="2"/>
  <c r="B38" i="2" s="1"/>
  <c r="B36" i="2"/>
  <c r="B35" i="2"/>
  <c r="B34" i="2"/>
  <c r="B33" i="2"/>
  <c r="B31" i="2"/>
  <c r="B28" i="2"/>
  <c r="B27" i="2"/>
  <c r="B26" i="2"/>
  <c r="B25" i="2"/>
  <c r="B24" i="2"/>
  <c r="B29" i="2" s="1"/>
  <c r="B20" i="2"/>
  <c r="B19" i="2"/>
  <c r="B17" i="2"/>
  <c r="B16" i="2"/>
  <c r="B15" i="2"/>
  <c r="B14" i="2"/>
  <c r="B13" i="2"/>
  <c r="B18" i="2" s="1"/>
  <c r="B11" i="2"/>
  <c r="B10" i="2"/>
  <c r="B9" i="2"/>
  <c r="B21" i="2" s="1"/>
  <c r="B22" i="2" s="1"/>
  <c r="B15" i="1" l="1"/>
  <c r="B20" i="1" s="1"/>
  <c r="B25" i="1" s="1"/>
  <c r="B212" i="2"/>
  <c r="B130" i="2"/>
  <c r="B140" i="2" s="1"/>
  <c r="B141" i="2" s="1"/>
  <c r="B72" i="2"/>
  <c r="B73" i="2" s="1"/>
  <c r="B142" i="2" s="1"/>
  <c r="B213" i="2" s="1"/>
  <c r="B220" i="2" s="1"/>
</calcChain>
</file>

<file path=xl/sharedStrings.xml><?xml version="1.0" encoding="utf-8"?>
<sst xmlns="http://schemas.openxmlformats.org/spreadsheetml/2006/main" count="245" uniqueCount="221">
  <si>
    <t>Total</t>
  </si>
  <si>
    <t>Revenue</t>
  </si>
  <si>
    <t xml:space="preserve">   4000 Revenue</t>
  </si>
  <si>
    <t xml:space="preserve">      4100 Direct Contributions</t>
  </si>
  <si>
    <t xml:space="preserve">         4110 Individual/Small Business Contributions</t>
  </si>
  <si>
    <t xml:space="preserve">         4120 Corporate Contributions</t>
  </si>
  <si>
    <t xml:space="preserve">         4130 Membership Revenue</t>
  </si>
  <si>
    <t xml:space="preserve">         4140 Annual Fundraiser</t>
  </si>
  <si>
    <t xml:space="preserve">            4141 Annual Fundraiser Donations</t>
  </si>
  <si>
    <t xml:space="preserve">            4142 Annual Fundraiser Sales</t>
  </si>
  <si>
    <t xml:space="preserve">            4143 Annual Fundraiser Sponsorships</t>
  </si>
  <si>
    <t xml:space="preserve">            4144 Patron Donations</t>
  </si>
  <si>
    <t xml:space="preserve">            4145 Porch Prize</t>
  </si>
  <si>
    <t xml:space="preserve">         Total 4140 Annual Fundraiser</t>
  </si>
  <si>
    <t xml:space="preserve">         4160 Other Fundraising</t>
  </si>
  <si>
    <t xml:space="preserve">         4170 Junior Board Fundraising</t>
  </si>
  <si>
    <t xml:space="preserve">      Total 4100 Direct Contributions</t>
  </si>
  <si>
    <t xml:space="preserve">   Total 4000 Revenue</t>
  </si>
  <si>
    <t xml:space="preserve">   4200 Non-Government Grants</t>
  </si>
  <si>
    <t xml:space="preserve">      4210 Community Foundation Discretionary Grant</t>
  </si>
  <si>
    <t xml:space="preserve">      4220 SouthArts Visiting Artist Grant</t>
  </si>
  <si>
    <t xml:space="preserve">      4250 Family Foundation Grants</t>
  </si>
  <si>
    <t xml:space="preserve">      4260 Academy of American Poets</t>
  </si>
  <si>
    <t xml:space="preserve">      4270 Other Non-Government Grants</t>
  </si>
  <si>
    <t xml:space="preserve">   Total 4200 Non-Government Grants</t>
  </si>
  <si>
    <t xml:space="preserve">   4500 Government Grants</t>
  </si>
  <si>
    <t xml:space="preserve">      4520 MAC Core Operating Support Grant</t>
  </si>
  <si>
    <t xml:space="preserve">      4530 TAC</t>
  </si>
  <si>
    <t xml:space="preserve">         4531 TAC Arts Access IR Grant</t>
  </si>
  <si>
    <t xml:space="preserve">         4533 TN Arts Commission ABC Grant</t>
  </si>
  <si>
    <t xml:space="preserve">         4536 TAC Recovery Grant</t>
  </si>
  <si>
    <t xml:space="preserve">         4537 TAC Other Grants</t>
  </si>
  <si>
    <t xml:space="preserve">      Total 4530 TAC</t>
  </si>
  <si>
    <t xml:space="preserve">   Total 4500 Government Grants</t>
  </si>
  <si>
    <t xml:space="preserve">   4700 Earned Revenue</t>
  </si>
  <si>
    <t xml:space="preserve">      4710 Merchandise Revenue</t>
  </si>
  <si>
    <t xml:space="preserve">      4720 Adult Programming</t>
  </si>
  <si>
    <t xml:space="preserve">         4721 Brown Bag Lunches Revenue</t>
  </si>
  <si>
    <t xml:space="preserve">         4722 Editorial Services Revenue</t>
  </si>
  <si>
    <t xml:space="preserve">         4723 General Scholarship Fund</t>
  </si>
  <si>
    <t xml:space="preserve">         4724 Happy Hours Revenue</t>
  </si>
  <si>
    <t xml:space="preserve">         4725 Immigrants Write Revenues</t>
  </si>
  <si>
    <t xml:space="preserve">         4726 NPL Adult Classes</t>
  </si>
  <si>
    <t xml:space="preserve">         4727 Open Studio Revenue</t>
  </si>
  <si>
    <t xml:space="preserve">         4728 OZ Revenue</t>
  </si>
  <si>
    <t xml:space="preserve">         4729 Retreat Revenue</t>
  </si>
  <si>
    <t xml:space="preserve">         4731 Senior Programming Revenue</t>
  </si>
  <si>
    <t xml:space="preserve">         4732 Swing Revenues</t>
  </si>
  <si>
    <t xml:space="preserve">            Launch / fundraising</t>
  </si>
  <si>
    <t xml:space="preserve">            Submittable</t>
  </si>
  <si>
    <t xml:space="preserve">            Subscriptions</t>
  </si>
  <si>
    <t xml:space="preserve">         Total 4732 Swing Revenues</t>
  </si>
  <si>
    <t xml:space="preserve">         4740 Workshops Revenue</t>
  </si>
  <si>
    <t xml:space="preserve">         4741 Webinars</t>
  </si>
  <si>
    <t xml:space="preserve">         4742 Corporate Track</t>
  </si>
  <si>
    <t xml:space="preserve">         4745 BIPOC Scholarship Fund</t>
  </si>
  <si>
    <t xml:space="preserve">      Total 4720 Adult Programming</t>
  </si>
  <si>
    <t xml:space="preserve">      4750 Miscellaneous Event Revenue</t>
  </si>
  <si>
    <t xml:space="preserve">         4752 Mirror House Revenues</t>
  </si>
  <si>
    <t xml:space="preserve">      Total 4750 Miscellaneous Event Revenue</t>
  </si>
  <si>
    <t xml:space="preserve">      4780 Youth Programming</t>
  </si>
  <si>
    <t xml:space="preserve">         4781 Camp SLANT Revenue</t>
  </si>
  <si>
    <t xml:space="preserve">         4782 NAZA Revenue</t>
  </si>
  <si>
    <t xml:space="preserve">         4784 NPL Youth</t>
  </si>
  <si>
    <t xml:space="preserve">         4785 Poetry Out Loud Revenue</t>
  </si>
  <si>
    <t xml:space="preserve">         4786 Youth Workshop Revenue</t>
  </si>
  <si>
    <t xml:space="preserve">      Total 4780 Youth Programming</t>
  </si>
  <si>
    <t xml:space="preserve">   Total 4700 Earned Revenue</t>
  </si>
  <si>
    <t>Total Revenue</t>
  </si>
  <si>
    <t>Cost of Goods Sold</t>
  </si>
  <si>
    <t xml:space="preserve">   5000 Fundraising &amp; Programming Expenses</t>
  </si>
  <si>
    <t xml:space="preserve">      5001 Fundraising Expenses</t>
  </si>
  <si>
    <t xml:space="preserve">         5130 Membership Expenses</t>
  </si>
  <si>
    <t xml:space="preserve">         5140 Annual Fundraising Expenses</t>
  </si>
  <si>
    <t xml:space="preserve">            5141 Annual Fundraiser Bar</t>
  </si>
  <si>
    <t xml:space="preserve">            5142 Annual Fundraiser Catering</t>
  </si>
  <si>
    <t xml:space="preserve">            5143 Annual Fundraiser Decorations</t>
  </si>
  <si>
    <t xml:space="preserve">            5144 Annual Fundraiser Entertainers</t>
  </si>
  <si>
    <t xml:space="preserve">            5145 Annual Fundraiser Graphic Design</t>
  </si>
  <si>
    <t xml:space="preserve">            5146 Annual Fundraiser Meals Associated</t>
  </si>
  <si>
    <t xml:space="preserve">            5147 Annual Fundraiser Other Expenses</t>
  </si>
  <si>
    <t xml:space="preserve">            5148 Annual Fundraiser Photographer &amp; Videographer</t>
  </si>
  <si>
    <t xml:space="preserve">            5149 Annual Fundraiser Printing &amp; Postage</t>
  </si>
  <si>
    <t xml:space="preserve">            5151 Annual Fundraiser Rentals</t>
  </si>
  <si>
    <t xml:space="preserve">            5152 Annual Fundraiser Travel</t>
  </si>
  <si>
    <t xml:space="preserve">            5153 Annual Fundraiser Venue Rental</t>
  </si>
  <si>
    <t xml:space="preserve">            5154 Porch Prize Expenses</t>
  </si>
  <si>
    <t xml:space="preserve">            5156 Event Planner</t>
  </si>
  <si>
    <t xml:space="preserve">         Total 5140 Annual Fundraising Expenses</t>
  </si>
  <si>
    <t xml:space="preserve">         5160 Other Fundraising Expenses</t>
  </si>
  <si>
    <t xml:space="preserve">      Total 5001 Fundraising Expenses</t>
  </si>
  <si>
    <t xml:space="preserve">      5710 Merchandise Expenses - COGS</t>
  </si>
  <si>
    <t xml:space="preserve">      5720 Adult Programming Expenses</t>
  </si>
  <si>
    <t xml:space="preserve">         5223 Outreach Instructor Payment</t>
  </si>
  <si>
    <t xml:space="preserve">            5224 Launch Pad / Preds Grant</t>
  </si>
  <si>
    <t xml:space="preserve">            5225 TAC Community Learning</t>
  </si>
  <si>
    <t xml:space="preserve">         Total 5223 Outreach Instructor Payment</t>
  </si>
  <si>
    <t xml:space="preserve">         5721 Brown Bag Lunch Expenses</t>
  </si>
  <si>
    <t xml:space="preserve">         5722 Editorial Expenses</t>
  </si>
  <si>
    <t xml:space="preserve">         5724 Happy Hour Expenses</t>
  </si>
  <si>
    <t xml:space="preserve">         5725 Immigrants Write Expenses</t>
  </si>
  <si>
    <t xml:space="preserve">         5726 NPL Adult Instructor Expenses</t>
  </si>
  <si>
    <t xml:space="preserve">         5727 Senior Programming Instructor Expenses</t>
  </si>
  <si>
    <t xml:space="preserve">         5728 OZ Expenses</t>
  </si>
  <si>
    <t xml:space="preserve">            OZ Expenses</t>
  </si>
  <si>
    <t xml:space="preserve">         Total 5728 OZ Expenses</t>
  </si>
  <si>
    <t xml:space="preserve">         5729 Retreat Expenses</t>
  </si>
  <si>
    <t xml:space="preserve">         5730 Visiting Writers Program</t>
  </si>
  <si>
    <t xml:space="preserve">            5731 South Arts Visiting Writers Expense</t>
  </si>
  <si>
    <t xml:space="preserve">         Total 5730 Visiting Writers Program</t>
  </si>
  <si>
    <t xml:space="preserve">         5732 Corporate Track Expenses</t>
  </si>
  <si>
    <t xml:space="preserve">         5733 20/30s Expenses</t>
  </si>
  <si>
    <t xml:space="preserve">         5740 Workshop Expenses</t>
  </si>
  <si>
    <t xml:space="preserve">         5750 Miscellaneous Event Expenses</t>
  </si>
  <si>
    <t xml:space="preserve">            5752 Mirror House Expenses</t>
  </si>
  <si>
    <t xml:space="preserve">            5754 Other Miscellaneous Event Expenses</t>
  </si>
  <si>
    <t xml:space="preserve">         Total 5750 Miscellaneous Event Expenses</t>
  </si>
  <si>
    <t xml:space="preserve">         5761 Translation Programming</t>
  </si>
  <si>
    <t xml:space="preserve">         5765 Porch Library</t>
  </si>
  <si>
    <t xml:space="preserve">         5766 Swing Literary Magazine</t>
  </si>
  <si>
    <t xml:space="preserve">            5767 Swing Printing and Shipping</t>
  </si>
  <si>
    <t xml:space="preserve">            5768 Swing Design Costs</t>
  </si>
  <si>
    <t xml:space="preserve">            5769 Swing Editing expenses</t>
  </si>
  <si>
    <t xml:space="preserve">         Total 5766 Swing Literary Magazine</t>
  </si>
  <si>
    <t xml:space="preserve">         5775 Teacher Commissions</t>
  </si>
  <si>
    <t xml:space="preserve">      Total 5720 Adult Programming Expenses</t>
  </si>
  <si>
    <t xml:space="preserve">      5780 Youth Programming Expenses</t>
  </si>
  <si>
    <t xml:space="preserve">         5781 Camp Slant Expenses</t>
  </si>
  <si>
    <t xml:space="preserve">         5782 NAZA Expenses</t>
  </si>
  <si>
    <t xml:space="preserve">         5783 New Youth Programming Expenses</t>
  </si>
  <si>
    <t xml:space="preserve">         5784 NPL Youth Instructor Expenses</t>
  </si>
  <si>
    <t xml:space="preserve">         5785 Poetry Out loud Expenses</t>
  </si>
  <si>
    <t xml:space="preserve">         5786 Youth Expenses</t>
  </si>
  <si>
    <t xml:space="preserve">         5787 Youth Instructor Payment</t>
  </si>
  <si>
    <t xml:space="preserve">      Total 5780 Youth Programming Expenses</t>
  </si>
  <si>
    <t xml:space="preserve">   Total 5000 Fundraising &amp; Programming Expenses</t>
  </si>
  <si>
    <t>Total Cost of Goods Sold</t>
  </si>
  <si>
    <t>Gross Profit</t>
  </si>
  <si>
    <t>Expenditures</t>
  </si>
  <si>
    <t xml:space="preserve">   7200 Operating Expenses - Personnel</t>
  </si>
  <si>
    <t xml:space="preserve">      7201 Payroll Expenses</t>
  </si>
  <si>
    <t xml:space="preserve">         7210 Director Salaries</t>
  </si>
  <si>
    <t xml:space="preserve">         7211 Director Commission/Bonus</t>
  </si>
  <si>
    <t xml:space="preserve">         7221 Community Liaison Payment</t>
  </si>
  <si>
    <t xml:space="preserve">         7222 Programs and Marketing Salary</t>
  </si>
  <si>
    <t xml:space="preserve">         7223 Development Director Salary</t>
  </si>
  <si>
    <t xml:space="preserve">         7224 Youth Program Director Salary</t>
  </si>
  <si>
    <t xml:space="preserve">         7225 Director of Education</t>
  </si>
  <si>
    <t xml:space="preserve">         7250 Payroll Tax Expense</t>
  </si>
  <si>
    <t xml:space="preserve">      Total 7201 Payroll Expenses</t>
  </si>
  <si>
    <t xml:space="preserve">      7301 Contract Services</t>
  </si>
  <si>
    <t xml:space="preserve">         7310 Consulting Audit and 990</t>
  </si>
  <si>
    <t xml:space="preserve">         7320 Consulting Accounting</t>
  </si>
  <si>
    <t xml:space="preserve">         7330 Digital Marketing Strategist</t>
  </si>
  <si>
    <t xml:space="preserve">      Total 7301 Contract Services</t>
  </si>
  <si>
    <t xml:space="preserve">   Total 7200 Operating Expenses - Personnel</t>
  </si>
  <si>
    <t xml:space="preserve">   7600 Operating Expenses - Non-Personnel</t>
  </si>
  <si>
    <t xml:space="preserve">      7601 Administrative Expenses</t>
  </si>
  <si>
    <t xml:space="preserve">         7610 Office Expense</t>
  </si>
  <si>
    <t xml:space="preserve">            7611 HQ Supplies</t>
  </si>
  <si>
    <t xml:space="preserve">            7612 Office Supplies</t>
  </si>
  <si>
    <t xml:space="preserve">            7613 Phone and Internet</t>
  </si>
  <si>
    <t xml:space="preserve">            7614 Postage</t>
  </si>
  <si>
    <t xml:space="preserve">            7615 Printing and Copying</t>
  </si>
  <si>
    <t xml:space="preserve">         Total 7610 Office Expense</t>
  </si>
  <si>
    <t xml:space="preserve">         7620 IT and Computer Expenses</t>
  </si>
  <si>
    <t xml:space="preserve">            7621 Accounting Systems</t>
  </si>
  <si>
    <t xml:space="preserve">            7622 ATT</t>
  </si>
  <si>
    <t xml:space="preserve">            7624 Google Accounts</t>
  </si>
  <si>
    <t xml:space="preserve">            7626 Website Hosting &amp; Mtce</t>
  </si>
  <si>
    <t xml:space="preserve">            7627 Zoom Accounts</t>
  </si>
  <si>
    <t xml:space="preserve">            7628 Flipcause</t>
  </si>
  <si>
    <t xml:space="preserve">         Total 7620 IT and Computer Expenses</t>
  </si>
  <si>
    <t xml:space="preserve">         7630 Fees</t>
  </si>
  <si>
    <t xml:space="preserve">            7631 Filing Fees, Taxes &amp; Licenses</t>
  </si>
  <si>
    <t xml:space="preserve">            7632 Merchant Fees Account</t>
  </si>
  <si>
    <t xml:space="preserve">         Total 7630 Fees</t>
  </si>
  <si>
    <t xml:space="preserve">         7650 Other Administrative Expenses</t>
  </si>
  <si>
    <t xml:space="preserve">            7651 Board Related Expenses</t>
  </si>
  <si>
    <t xml:space="preserve">            7652 Director Meetings</t>
  </si>
  <si>
    <t xml:space="preserve">            7653 PD Meals and Entertainment</t>
  </si>
  <si>
    <t xml:space="preserve">            7654 PD Travel</t>
  </si>
  <si>
    <t xml:space="preserve">            7655 Professional Development Expense</t>
  </si>
  <si>
    <t xml:space="preserve">         Total 7650 Other Administrative Expenses</t>
  </si>
  <si>
    <t xml:space="preserve">         7670 Insurance</t>
  </si>
  <si>
    <t xml:space="preserve">         7680 Professional Memberships</t>
  </si>
  <si>
    <t xml:space="preserve">         7690 Donations to Other Orgs.</t>
  </si>
  <si>
    <t xml:space="preserve">      Total 7601 Administrative Expenses</t>
  </si>
  <si>
    <t xml:space="preserve">      7701 Marketing Expenses</t>
  </si>
  <si>
    <t xml:space="preserve">         7710 Advertising/Promotional</t>
  </si>
  <si>
    <t xml:space="preserve">         7720 Graphic Design</t>
  </si>
  <si>
    <t xml:space="preserve">         7730 General Marketing Expenses</t>
  </si>
  <si>
    <t xml:space="preserve">         7731 Blog Expenses</t>
  </si>
  <si>
    <t xml:space="preserve">      Total 7701 Marketing Expenses</t>
  </si>
  <si>
    <t xml:space="preserve">      7801 Occupancy</t>
  </si>
  <si>
    <t xml:space="preserve">         7810 Rent</t>
  </si>
  <si>
    <t xml:space="preserve">         7820 Utilities</t>
  </si>
  <si>
    <t xml:space="preserve">            7821 Electric and Gas</t>
  </si>
  <si>
    <t xml:space="preserve">            7822 Garbage</t>
  </si>
  <si>
    <t xml:space="preserve">            7823 Water</t>
  </si>
  <si>
    <t xml:space="preserve">         Total 7820 Utilities</t>
  </si>
  <si>
    <t xml:space="preserve">         7830 Housekeeping &amp; Maintenance</t>
  </si>
  <si>
    <t xml:space="preserve">         7840 Yard Maintenance</t>
  </si>
  <si>
    <t xml:space="preserve">      Total 7801 Occupancy</t>
  </si>
  <si>
    <t xml:space="preserve">   Total 7600 Operating Expenses - Non-Personnel</t>
  </si>
  <si>
    <t>Total Expenditures</t>
  </si>
  <si>
    <t>Net Operating Revenue</t>
  </si>
  <si>
    <t>Other Revenue</t>
  </si>
  <si>
    <t xml:space="preserve">   8000 Other Revenue</t>
  </si>
  <si>
    <t xml:space="preserve">      8001 Interest Income</t>
  </si>
  <si>
    <t xml:space="preserve">   Total 8000 Other Revenue</t>
  </si>
  <si>
    <t>Total Other Revenue</t>
  </si>
  <si>
    <t>Net Other Revenue</t>
  </si>
  <si>
    <t>Net Revenue</t>
  </si>
  <si>
    <t>The Porch Writers' Collective</t>
  </si>
  <si>
    <t xml:space="preserve">Budget Overview: FY24 Budget Final - FY24 P&amp;L </t>
  </si>
  <si>
    <t>July 2023 - June 2024</t>
  </si>
  <si>
    <t xml:space="preserve">            7623 Grant Management Software</t>
  </si>
  <si>
    <t xml:space="preserve">            7625 Computer/Printer Expenses</t>
  </si>
  <si>
    <t>Wednesday, Jul 19, 2023 08:20:08 AM GMT-7 - Cash Basis</t>
  </si>
  <si>
    <t>Wednesday, Jul 19, 2023 08:19:34 AM GMT-7 - 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</si>
</sst>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activeCell="H12" sqref="H12"/>
    </sheetView>
  </sheetViews>
  <sheetFormatPr defaultRowHeight="15" x14ac:dyDescent="0.25"/>
  <cols>
    <col min="1" max="2" width="40.42578125" customWidth="1"/>
  </cols>
  <sheetData>
    <row r="1" spans="1:2" ht="18" x14ac:dyDescent="0.25">
      <c r="A1" s="9" t="s">
        <v>214</v>
      </c>
      <c r="B1" s="8"/>
    </row>
    <row r="2" spans="1:2" ht="18" x14ac:dyDescent="0.25">
      <c r="A2" s="9" t="s">
        <v>215</v>
      </c>
      <c r="B2" s="8"/>
    </row>
    <row r="3" spans="1:2" x14ac:dyDescent="0.25">
      <c r="A3" s="10" t="s">
        <v>216</v>
      </c>
      <c r="B3" s="8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5">
        <f>181500</f>
        <v>181500</v>
      </c>
    </row>
    <row r="8" spans="1:2" x14ac:dyDescent="0.25">
      <c r="A8" s="3" t="s">
        <v>18</v>
      </c>
      <c r="B8" s="5">
        <f>33570</f>
        <v>33570</v>
      </c>
    </row>
    <row r="9" spans="1:2" x14ac:dyDescent="0.25">
      <c r="A9" s="3" t="s">
        <v>25</v>
      </c>
      <c r="B9" s="5">
        <f>130060</f>
        <v>130060</v>
      </c>
    </row>
    <row r="10" spans="1:2" x14ac:dyDescent="0.25">
      <c r="A10" s="3" t="s">
        <v>34</v>
      </c>
      <c r="B10" s="5">
        <f>192490</f>
        <v>192490</v>
      </c>
    </row>
    <row r="11" spans="1:2" x14ac:dyDescent="0.25">
      <c r="A11" s="3" t="s">
        <v>68</v>
      </c>
      <c r="B11" s="6">
        <f>(((B7)+(B8))+(B9))+(B10)</f>
        <v>537620</v>
      </c>
    </row>
    <row r="12" spans="1:2" x14ac:dyDescent="0.25">
      <c r="A12" s="3" t="s">
        <v>69</v>
      </c>
      <c r="B12" s="4"/>
    </row>
    <row r="13" spans="1:2" x14ac:dyDescent="0.25">
      <c r="A13" s="3" t="s">
        <v>70</v>
      </c>
      <c r="B13" s="5">
        <f>152800</f>
        <v>152800</v>
      </c>
    </row>
    <row r="14" spans="1:2" x14ac:dyDescent="0.25">
      <c r="A14" s="3" t="s">
        <v>136</v>
      </c>
      <c r="B14" s="6">
        <f>B13</f>
        <v>152800</v>
      </c>
    </row>
    <row r="15" spans="1:2" x14ac:dyDescent="0.25">
      <c r="A15" s="3" t="s">
        <v>137</v>
      </c>
      <c r="B15" s="6">
        <f>(B11)-(B14)</f>
        <v>384820</v>
      </c>
    </row>
    <row r="16" spans="1:2" x14ac:dyDescent="0.25">
      <c r="A16" s="3" t="s">
        <v>138</v>
      </c>
      <c r="B16" s="4"/>
    </row>
    <row r="17" spans="1:2" x14ac:dyDescent="0.25">
      <c r="A17" s="3" t="s">
        <v>139</v>
      </c>
      <c r="B17" s="5">
        <f>325801</f>
        <v>325801</v>
      </c>
    </row>
    <row r="18" spans="1:2" x14ac:dyDescent="0.25">
      <c r="A18" s="3" t="s">
        <v>156</v>
      </c>
      <c r="B18" s="5">
        <f>56038</f>
        <v>56038</v>
      </c>
    </row>
    <row r="19" spans="1:2" x14ac:dyDescent="0.25">
      <c r="A19" s="3" t="s">
        <v>205</v>
      </c>
      <c r="B19" s="6">
        <f>(B17)+(B18)</f>
        <v>381839</v>
      </c>
    </row>
    <row r="20" spans="1:2" x14ac:dyDescent="0.25">
      <c r="A20" s="3" t="s">
        <v>206</v>
      </c>
      <c r="B20" s="6">
        <f>(B15)-(B19)</f>
        <v>2981</v>
      </c>
    </row>
    <row r="21" spans="1:2" x14ac:dyDescent="0.25">
      <c r="A21" s="3" t="s">
        <v>207</v>
      </c>
      <c r="B21" s="4"/>
    </row>
    <row r="22" spans="1:2" x14ac:dyDescent="0.25">
      <c r="A22" s="3" t="s">
        <v>208</v>
      </c>
      <c r="B22" s="5">
        <f>70</f>
        <v>70</v>
      </c>
    </row>
    <row r="23" spans="1:2" x14ac:dyDescent="0.25">
      <c r="A23" s="3" t="s">
        <v>211</v>
      </c>
      <c r="B23" s="6">
        <f>B22</f>
        <v>70</v>
      </c>
    </row>
    <row r="24" spans="1:2" x14ac:dyDescent="0.25">
      <c r="A24" s="3" t="s">
        <v>212</v>
      </c>
      <c r="B24" s="6">
        <f>(B23)-(0)</f>
        <v>70</v>
      </c>
    </row>
    <row r="25" spans="1:2" x14ac:dyDescent="0.25">
      <c r="A25" s="3" t="s">
        <v>213</v>
      </c>
      <c r="B25" s="6">
        <f>(B20)+(B24)</f>
        <v>3051</v>
      </c>
    </row>
    <row r="26" spans="1:2" x14ac:dyDescent="0.25">
      <c r="A26" s="3"/>
      <c r="B26" s="4"/>
    </row>
    <row r="29" spans="1:2" x14ac:dyDescent="0.25">
      <c r="A29" s="7" t="s">
        <v>220</v>
      </c>
      <c r="B29" s="8"/>
    </row>
  </sheetData>
  <mergeCells count="4">
    <mergeCell ref="A1:B1"/>
    <mergeCell ref="A2:B2"/>
    <mergeCell ref="A3:B3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5ED6-FCF4-4153-89DA-40A48B3A458D}">
  <dimension ref="A1:B224"/>
  <sheetViews>
    <sheetView topLeftCell="A13" workbookViewId="0">
      <selection activeCell="H30" sqref="H30"/>
    </sheetView>
  </sheetViews>
  <sheetFormatPr defaultRowHeight="15" x14ac:dyDescent="0.25"/>
  <cols>
    <col min="1" max="1" width="54.140625" customWidth="1"/>
    <col min="2" max="2" width="40.42578125" customWidth="1"/>
  </cols>
  <sheetData>
    <row r="1" spans="1:2" ht="18" x14ac:dyDescent="0.25">
      <c r="A1" s="9" t="s">
        <v>214</v>
      </c>
      <c r="B1" s="8"/>
    </row>
    <row r="2" spans="1:2" ht="18" x14ac:dyDescent="0.25">
      <c r="A2" s="9" t="s">
        <v>215</v>
      </c>
      <c r="B2" s="8"/>
    </row>
    <row r="3" spans="1:2" x14ac:dyDescent="0.25">
      <c r="A3" s="10" t="s">
        <v>216</v>
      </c>
      <c r="B3" s="8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3</v>
      </c>
      <c r="B8" s="4"/>
    </row>
    <row r="9" spans="1:2" x14ac:dyDescent="0.25">
      <c r="A9" s="3" t="s">
        <v>4</v>
      </c>
      <c r="B9" s="5">
        <f>80000</f>
        <v>80000</v>
      </c>
    </row>
    <row r="10" spans="1:2" x14ac:dyDescent="0.25">
      <c r="A10" s="3" t="s">
        <v>5</v>
      </c>
      <c r="B10" s="5">
        <f>3000</f>
        <v>3000</v>
      </c>
    </row>
    <row r="11" spans="1:2" x14ac:dyDescent="0.25">
      <c r="A11" s="3" t="s">
        <v>6</v>
      </c>
      <c r="B11" s="5">
        <f>33000</f>
        <v>33000</v>
      </c>
    </row>
    <row r="12" spans="1:2" x14ac:dyDescent="0.25">
      <c r="A12" s="3" t="s">
        <v>7</v>
      </c>
      <c r="B12" s="4"/>
    </row>
    <row r="13" spans="1:2" x14ac:dyDescent="0.25">
      <c r="A13" s="3" t="s">
        <v>8</v>
      </c>
      <c r="B13" s="5">
        <f>500</f>
        <v>500</v>
      </c>
    </row>
    <row r="14" spans="1:2" x14ac:dyDescent="0.25">
      <c r="A14" s="3" t="s">
        <v>9</v>
      </c>
      <c r="B14" s="5">
        <f>10000</f>
        <v>10000</v>
      </c>
    </row>
    <row r="15" spans="1:2" x14ac:dyDescent="0.25">
      <c r="A15" s="3" t="s">
        <v>10</v>
      </c>
      <c r="B15" s="5">
        <f>35000</f>
        <v>35000</v>
      </c>
    </row>
    <row r="16" spans="1:2" x14ac:dyDescent="0.25">
      <c r="A16" s="3" t="s">
        <v>11</v>
      </c>
      <c r="B16" s="5">
        <f>8000</f>
        <v>8000</v>
      </c>
    </row>
    <row r="17" spans="1:2" x14ac:dyDescent="0.25">
      <c r="A17" s="3" t="s">
        <v>12</v>
      </c>
      <c r="B17" s="5">
        <f>4500</f>
        <v>4500</v>
      </c>
    </row>
    <row r="18" spans="1:2" x14ac:dyDescent="0.25">
      <c r="A18" s="3" t="s">
        <v>13</v>
      </c>
      <c r="B18" s="6">
        <f>(((((B12)+(B13))+(B14))+(B15))+(B16))+(B17)</f>
        <v>58000</v>
      </c>
    </row>
    <row r="19" spans="1:2" x14ac:dyDescent="0.25">
      <c r="A19" s="3" t="s">
        <v>14</v>
      </c>
      <c r="B19" s="5">
        <f>2500</f>
        <v>2500</v>
      </c>
    </row>
    <row r="20" spans="1:2" x14ac:dyDescent="0.25">
      <c r="A20" s="3" t="s">
        <v>15</v>
      </c>
      <c r="B20" s="5">
        <f>5000</f>
        <v>5000</v>
      </c>
    </row>
    <row r="21" spans="1:2" x14ac:dyDescent="0.25">
      <c r="A21" s="3" t="s">
        <v>16</v>
      </c>
      <c r="B21" s="6">
        <f>((((((B8)+(B9))+(B10))+(B11))+(B18))+(B19))+(B20)</f>
        <v>181500</v>
      </c>
    </row>
    <row r="22" spans="1:2" x14ac:dyDescent="0.25">
      <c r="A22" s="3" t="s">
        <v>17</v>
      </c>
      <c r="B22" s="6">
        <f>(B7)+(B21)</f>
        <v>181500</v>
      </c>
    </row>
    <row r="23" spans="1:2" x14ac:dyDescent="0.25">
      <c r="A23" s="3" t="s">
        <v>18</v>
      </c>
      <c r="B23" s="4"/>
    </row>
    <row r="24" spans="1:2" x14ac:dyDescent="0.25">
      <c r="A24" s="3" t="s">
        <v>19</v>
      </c>
      <c r="B24" s="5">
        <f>2500</f>
        <v>2500</v>
      </c>
    </row>
    <row r="25" spans="1:2" x14ac:dyDescent="0.25">
      <c r="A25" s="3" t="s">
        <v>20</v>
      </c>
      <c r="B25" s="5">
        <f>2750</f>
        <v>2750</v>
      </c>
    </row>
    <row r="26" spans="1:2" x14ac:dyDescent="0.25">
      <c r="A26" s="3" t="s">
        <v>21</v>
      </c>
      <c r="B26" s="5">
        <f>20000</f>
        <v>20000</v>
      </c>
    </row>
    <row r="27" spans="1:2" x14ac:dyDescent="0.25">
      <c r="A27" s="3" t="s">
        <v>22</v>
      </c>
      <c r="B27" s="5">
        <f>5000</f>
        <v>5000</v>
      </c>
    </row>
    <row r="28" spans="1:2" x14ac:dyDescent="0.25">
      <c r="A28" s="3" t="s">
        <v>23</v>
      </c>
      <c r="B28" s="5">
        <f>3320</f>
        <v>3320</v>
      </c>
    </row>
    <row r="29" spans="1:2" x14ac:dyDescent="0.25">
      <c r="A29" s="3" t="s">
        <v>24</v>
      </c>
      <c r="B29" s="6">
        <f>(((((B23)+(B24))+(B25))+(B26))+(B27))+(B28)</f>
        <v>33570</v>
      </c>
    </row>
    <row r="30" spans="1:2" x14ac:dyDescent="0.25">
      <c r="A30" s="3" t="s">
        <v>25</v>
      </c>
      <c r="B30" s="4"/>
    </row>
    <row r="31" spans="1:2" x14ac:dyDescent="0.25">
      <c r="A31" s="3" t="s">
        <v>26</v>
      </c>
      <c r="B31" s="5">
        <f>45000</f>
        <v>45000</v>
      </c>
    </row>
    <row r="32" spans="1:2" x14ac:dyDescent="0.25">
      <c r="A32" s="3" t="s">
        <v>27</v>
      </c>
      <c r="B32" s="4"/>
    </row>
    <row r="33" spans="1:2" x14ac:dyDescent="0.25">
      <c r="A33" s="3" t="s">
        <v>28</v>
      </c>
      <c r="B33" s="5">
        <f>4400</f>
        <v>4400</v>
      </c>
    </row>
    <row r="34" spans="1:2" x14ac:dyDescent="0.25">
      <c r="A34" s="3" t="s">
        <v>29</v>
      </c>
      <c r="B34" s="5">
        <f>3000</f>
        <v>3000</v>
      </c>
    </row>
    <row r="35" spans="1:2" x14ac:dyDescent="0.25">
      <c r="A35" s="3" t="s">
        <v>30</v>
      </c>
      <c r="B35" s="5">
        <f>58660</f>
        <v>58660</v>
      </c>
    </row>
    <row r="36" spans="1:2" x14ac:dyDescent="0.25">
      <c r="A36" s="3" t="s">
        <v>31</v>
      </c>
      <c r="B36" s="5">
        <f>19000</f>
        <v>19000</v>
      </c>
    </row>
    <row r="37" spans="1:2" x14ac:dyDescent="0.25">
      <c r="A37" s="3" t="s">
        <v>32</v>
      </c>
      <c r="B37" s="6">
        <f>((((B32)+(B33))+(B34))+(B35))+(B36)</f>
        <v>85060</v>
      </c>
    </row>
    <row r="38" spans="1:2" x14ac:dyDescent="0.25">
      <c r="A38" s="3" t="s">
        <v>33</v>
      </c>
      <c r="B38" s="6">
        <f>((B30)+(B31))+(B37)</f>
        <v>130060</v>
      </c>
    </row>
    <row r="39" spans="1:2" x14ac:dyDescent="0.25">
      <c r="A39" s="3" t="s">
        <v>34</v>
      </c>
      <c r="B39" s="4"/>
    </row>
    <row r="40" spans="1:2" x14ac:dyDescent="0.25">
      <c r="A40" s="3" t="s">
        <v>35</v>
      </c>
      <c r="B40" s="5">
        <f>4000</f>
        <v>4000</v>
      </c>
    </row>
    <row r="41" spans="1:2" x14ac:dyDescent="0.25">
      <c r="A41" s="3" t="s">
        <v>36</v>
      </c>
      <c r="B41" s="4"/>
    </row>
    <row r="42" spans="1:2" x14ac:dyDescent="0.25">
      <c r="A42" s="3" t="s">
        <v>37</v>
      </c>
      <c r="B42" s="5">
        <f>750</f>
        <v>750</v>
      </c>
    </row>
    <row r="43" spans="1:2" x14ac:dyDescent="0.25">
      <c r="A43" s="3" t="s">
        <v>38</v>
      </c>
      <c r="B43" s="5">
        <f>10000</f>
        <v>10000</v>
      </c>
    </row>
    <row r="44" spans="1:2" x14ac:dyDescent="0.25">
      <c r="A44" s="3" t="s">
        <v>39</v>
      </c>
      <c r="B44" s="5">
        <f>5000</f>
        <v>5000</v>
      </c>
    </row>
    <row r="45" spans="1:2" x14ac:dyDescent="0.25">
      <c r="A45" s="3" t="s">
        <v>40</v>
      </c>
      <c r="B45" s="5">
        <f>250</f>
        <v>250</v>
      </c>
    </row>
    <row r="46" spans="1:2" x14ac:dyDescent="0.25">
      <c r="A46" s="3" t="s">
        <v>41</v>
      </c>
      <c r="B46" s="5">
        <f>200</f>
        <v>200</v>
      </c>
    </row>
    <row r="47" spans="1:2" x14ac:dyDescent="0.25">
      <c r="A47" s="3" t="s">
        <v>42</v>
      </c>
      <c r="B47" s="5">
        <f>1000</f>
        <v>1000</v>
      </c>
    </row>
    <row r="48" spans="1:2" x14ac:dyDescent="0.25">
      <c r="A48" s="3" t="s">
        <v>43</v>
      </c>
      <c r="B48" s="5">
        <f>200</f>
        <v>200</v>
      </c>
    </row>
    <row r="49" spans="1:2" x14ac:dyDescent="0.25">
      <c r="A49" s="3" t="s">
        <v>44</v>
      </c>
      <c r="B49" s="5">
        <f>4500</f>
        <v>4500</v>
      </c>
    </row>
    <row r="50" spans="1:2" x14ac:dyDescent="0.25">
      <c r="A50" s="3" t="s">
        <v>45</v>
      </c>
      <c r="B50" s="5">
        <f>20000</f>
        <v>20000</v>
      </c>
    </row>
    <row r="51" spans="1:2" x14ac:dyDescent="0.25">
      <c r="A51" s="3" t="s">
        <v>46</v>
      </c>
      <c r="B51" s="5">
        <f>2000</f>
        <v>2000</v>
      </c>
    </row>
    <row r="52" spans="1:2" x14ac:dyDescent="0.25">
      <c r="A52" s="3" t="s">
        <v>47</v>
      </c>
      <c r="B52" s="4"/>
    </row>
    <row r="53" spans="1:2" x14ac:dyDescent="0.25">
      <c r="A53" s="3" t="s">
        <v>48</v>
      </c>
      <c r="B53" s="5">
        <f>1000</f>
        <v>1000</v>
      </c>
    </row>
    <row r="54" spans="1:2" x14ac:dyDescent="0.25">
      <c r="A54" s="3" t="s">
        <v>49</v>
      </c>
      <c r="B54" s="5">
        <f>600</f>
        <v>600</v>
      </c>
    </row>
    <row r="55" spans="1:2" x14ac:dyDescent="0.25">
      <c r="A55" s="3" t="s">
        <v>50</v>
      </c>
      <c r="B55" s="5">
        <f>750</f>
        <v>750</v>
      </c>
    </row>
    <row r="56" spans="1:2" x14ac:dyDescent="0.25">
      <c r="A56" s="3" t="s">
        <v>51</v>
      </c>
      <c r="B56" s="6">
        <f>(((B52)+(B53))+(B54))+(B55)</f>
        <v>2350</v>
      </c>
    </row>
    <row r="57" spans="1:2" x14ac:dyDescent="0.25">
      <c r="A57" s="3" t="s">
        <v>52</v>
      </c>
      <c r="B57" s="5">
        <f>126000</f>
        <v>126000</v>
      </c>
    </row>
    <row r="58" spans="1:2" x14ac:dyDescent="0.25">
      <c r="A58" s="3" t="s">
        <v>53</v>
      </c>
      <c r="B58" s="5">
        <f>300</f>
        <v>300</v>
      </c>
    </row>
    <row r="59" spans="1:2" x14ac:dyDescent="0.25">
      <c r="A59" s="3" t="s">
        <v>54</v>
      </c>
      <c r="B59" s="5">
        <f>2500</f>
        <v>2500</v>
      </c>
    </row>
    <row r="60" spans="1:2" x14ac:dyDescent="0.25">
      <c r="A60" s="3" t="s">
        <v>55</v>
      </c>
      <c r="B60" s="5">
        <f>300</f>
        <v>300</v>
      </c>
    </row>
    <row r="61" spans="1:2" x14ac:dyDescent="0.25">
      <c r="A61" s="3" t="s">
        <v>56</v>
      </c>
      <c r="B61" s="6">
        <f>(((((((((((((((B41)+(B42))+(B43))+(B44))+(B45))+(B46))+(B47))+(B48))+(B49))+(B50))+(B51))+(B56))+(B57))+(B58))+(B59))+(B60)</f>
        <v>175350</v>
      </c>
    </row>
    <row r="62" spans="1:2" x14ac:dyDescent="0.25">
      <c r="A62" s="3" t="s">
        <v>57</v>
      </c>
      <c r="B62" s="5">
        <f>800</f>
        <v>800</v>
      </c>
    </row>
    <row r="63" spans="1:2" x14ac:dyDescent="0.25">
      <c r="A63" s="3" t="s">
        <v>58</v>
      </c>
      <c r="B63" s="5">
        <f>1300</f>
        <v>1300</v>
      </c>
    </row>
    <row r="64" spans="1:2" x14ac:dyDescent="0.25">
      <c r="A64" s="3" t="s">
        <v>59</v>
      </c>
      <c r="B64" s="6">
        <f>(B62)+(B63)</f>
        <v>2100</v>
      </c>
    </row>
    <row r="65" spans="1:2" x14ac:dyDescent="0.25">
      <c r="A65" s="3" t="s">
        <v>60</v>
      </c>
      <c r="B65" s="4"/>
    </row>
    <row r="66" spans="1:2" x14ac:dyDescent="0.25">
      <c r="A66" s="3" t="s">
        <v>61</v>
      </c>
      <c r="B66" s="5">
        <f>4000</f>
        <v>4000</v>
      </c>
    </row>
    <row r="67" spans="1:2" x14ac:dyDescent="0.25">
      <c r="A67" s="3" t="s">
        <v>62</v>
      </c>
      <c r="B67" s="5">
        <f>3500</f>
        <v>3500</v>
      </c>
    </row>
    <row r="68" spans="1:2" x14ac:dyDescent="0.25">
      <c r="A68" s="3" t="s">
        <v>63</v>
      </c>
      <c r="B68" s="5">
        <f>1440</f>
        <v>1440</v>
      </c>
    </row>
    <row r="69" spans="1:2" x14ac:dyDescent="0.25">
      <c r="A69" s="3" t="s">
        <v>64</v>
      </c>
      <c r="B69" s="5">
        <f>700</f>
        <v>700</v>
      </c>
    </row>
    <row r="70" spans="1:2" x14ac:dyDescent="0.25">
      <c r="A70" s="3" t="s">
        <v>65</v>
      </c>
      <c r="B70" s="5">
        <f>1400</f>
        <v>1400</v>
      </c>
    </row>
    <row r="71" spans="1:2" x14ac:dyDescent="0.25">
      <c r="A71" s="3" t="s">
        <v>66</v>
      </c>
      <c r="B71" s="6">
        <f>(((((B65)+(B66))+(B67))+(B68))+(B69))+(B70)</f>
        <v>11040</v>
      </c>
    </row>
    <row r="72" spans="1:2" x14ac:dyDescent="0.25">
      <c r="A72" s="3" t="s">
        <v>67</v>
      </c>
      <c r="B72" s="6">
        <f>((((B39)+(B40))+(B61))+(B64))+(B71)</f>
        <v>192490</v>
      </c>
    </row>
    <row r="73" spans="1:2" x14ac:dyDescent="0.25">
      <c r="A73" s="3" t="s">
        <v>68</v>
      </c>
      <c r="B73" s="6">
        <f>(((B22)+(B29))+(B38))+(B72)</f>
        <v>537620</v>
      </c>
    </row>
    <row r="74" spans="1:2" x14ac:dyDescent="0.25">
      <c r="A74" s="3" t="s">
        <v>69</v>
      </c>
      <c r="B74" s="4"/>
    </row>
    <row r="75" spans="1:2" x14ac:dyDescent="0.25">
      <c r="A75" s="3" t="s">
        <v>70</v>
      </c>
      <c r="B75" s="4"/>
    </row>
    <row r="76" spans="1:2" x14ac:dyDescent="0.25">
      <c r="A76" s="3" t="s">
        <v>71</v>
      </c>
      <c r="B76" s="4"/>
    </row>
    <row r="77" spans="1:2" x14ac:dyDescent="0.25">
      <c r="A77" s="3" t="s">
        <v>72</v>
      </c>
      <c r="B77" s="5">
        <f>600</f>
        <v>600</v>
      </c>
    </row>
    <row r="78" spans="1:2" x14ac:dyDescent="0.25">
      <c r="A78" s="3" t="s">
        <v>73</v>
      </c>
      <c r="B78" s="4"/>
    </row>
    <row r="79" spans="1:2" x14ac:dyDescent="0.25">
      <c r="A79" s="3" t="s">
        <v>74</v>
      </c>
      <c r="B79" s="5">
        <f>1000</f>
        <v>1000</v>
      </c>
    </row>
    <row r="80" spans="1:2" x14ac:dyDescent="0.25">
      <c r="A80" s="3" t="s">
        <v>75</v>
      </c>
      <c r="B80" s="5">
        <f>3500</f>
        <v>3500</v>
      </c>
    </row>
    <row r="81" spans="1:2" x14ac:dyDescent="0.25">
      <c r="A81" s="3" t="s">
        <v>76</v>
      </c>
      <c r="B81" s="5">
        <f>100</f>
        <v>100</v>
      </c>
    </row>
    <row r="82" spans="1:2" x14ac:dyDescent="0.25">
      <c r="A82" s="3" t="s">
        <v>77</v>
      </c>
      <c r="B82" s="5">
        <f>1000</f>
        <v>1000</v>
      </c>
    </row>
    <row r="83" spans="1:2" x14ac:dyDescent="0.25">
      <c r="A83" s="3" t="s">
        <v>78</v>
      </c>
      <c r="B83" s="5">
        <f>1000</f>
        <v>1000</v>
      </c>
    </row>
    <row r="84" spans="1:2" x14ac:dyDescent="0.25">
      <c r="A84" s="3" t="s">
        <v>79</v>
      </c>
      <c r="B84" s="5">
        <f>100</f>
        <v>100</v>
      </c>
    </row>
    <row r="85" spans="1:2" x14ac:dyDescent="0.25">
      <c r="A85" s="3" t="s">
        <v>80</v>
      </c>
      <c r="B85" s="5">
        <f>200</f>
        <v>200</v>
      </c>
    </row>
    <row r="86" spans="1:2" x14ac:dyDescent="0.25">
      <c r="A86" s="3" t="s">
        <v>81</v>
      </c>
      <c r="B86" s="5">
        <f>450</f>
        <v>450</v>
      </c>
    </row>
    <row r="87" spans="1:2" x14ac:dyDescent="0.25">
      <c r="A87" s="3" t="s">
        <v>82</v>
      </c>
      <c r="B87" s="5">
        <f>500</f>
        <v>500</v>
      </c>
    </row>
    <row r="88" spans="1:2" x14ac:dyDescent="0.25">
      <c r="A88" s="3" t="s">
        <v>83</v>
      </c>
      <c r="B88" s="5">
        <f>1000</f>
        <v>1000</v>
      </c>
    </row>
    <row r="89" spans="1:2" x14ac:dyDescent="0.25">
      <c r="A89" s="3" t="s">
        <v>84</v>
      </c>
      <c r="B89" s="5">
        <f>1000</f>
        <v>1000</v>
      </c>
    </row>
    <row r="90" spans="1:2" x14ac:dyDescent="0.25">
      <c r="A90" s="3" t="s">
        <v>85</v>
      </c>
      <c r="B90" s="5">
        <f>2000</f>
        <v>2000</v>
      </c>
    </row>
    <row r="91" spans="1:2" x14ac:dyDescent="0.25">
      <c r="A91" s="3" t="s">
        <v>86</v>
      </c>
      <c r="B91" s="5">
        <f>2550</f>
        <v>2550</v>
      </c>
    </row>
    <row r="92" spans="1:2" x14ac:dyDescent="0.25">
      <c r="A92" s="3" t="s">
        <v>87</v>
      </c>
      <c r="B92" s="5">
        <f>1000</f>
        <v>1000</v>
      </c>
    </row>
    <row r="93" spans="1:2" x14ac:dyDescent="0.25">
      <c r="A93" s="3" t="s">
        <v>88</v>
      </c>
      <c r="B93" s="6">
        <f>((((((((((((((B78)+(B79))+(B80))+(B81))+(B82))+(B83))+(B84))+(B85))+(B86))+(B87))+(B88))+(B89))+(B90))+(B91))+(B92)</f>
        <v>15400</v>
      </c>
    </row>
    <row r="94" spans="1:2" x14ac:dyDescent="0.25">
      <c r="A94" s="3" t="s">
        <v>89</v>
      </c>
      <c r="B94" s="5">
        <f>400</f>
        <v>400</v>
      </c>
    </row>
    <row r="95" spans="1:2" x14ac:dyDescent="0.25">
      <c r="A95" s="3" t="s">
        <v>90</v>
      </c>
      <c r="B95" s="6">
        <f>(((B76)+(B77))+(B93))+(B94)</f>
        <v>16400</v>
      </c>
    </row>
    <row r="96" spans="1:2" x14ac:dyDescent="0.25">
      <c r="A96" s="3" t="s">
        <v>91</v>
      </c>
      <c r="B96" s="5">
        <f>3400</f>
        <v>3400</v>
      </c>
    </row>
    <row r="97" spans="1:2" x14ac:dyDescent="0.25">
      <c r="A97" s="3" t="s">
        <v>92</v>
      </c>
      <c r="B97" s="4"/>
    </row>
    <row r="98" spans="1:2" x14ac:dyDescent="0.25">
      <c r="A98" s="3" t="s">
        <v>93</v>
      </c>
      <c r="B98" s="4"/>
    </row>
    <row r="99" spans="1:2" x14ac:dyDescent="0.25">
      <c r="A99" s="3" t="s">
        <v>94</v>
      </c>
      <c r="B99" s="5">
        <f>3320</f>
        <v>3320</v>
      </c>
    </row>
    <row r="100" spans="1:2" x14ac:dyDescent="0.25">
      <c r="A100" s="3" t="s">
        <v>95</v>
      </c>
      <c r="B100" s="5">
        <f>4000</f>
        <v>4000</v>
      </c>
    </row>
    <row r="101" spans="1:2" x14ac:dyDescent="0.25">
      <c r="A101" s="3" t="s">
        <v>96</v>
      </c>
      <c r="B101" s="6">
        <f>((B98)+(B99))+(B100)</f>
        <v>7320</v>
      </c>
    </row>
    <row r="102" spans="1:2" x14ac:dyDescent="0.25">
      <c r="A102" s="3" t="s">
        <v>97</v>
      </c>
      <c r="B102" s="5">
        <f>500</f>
        <v>500</v>
      </c>
    </row>
    <row r="103" spans="1:2" x14ac:dyDescent="0.25">
      <c r="A103" s="3" t="s">
        <v>98</v>
      </c>
      <c r="B103" s="5">
        <f>8500</f>
        <v>8500</v>
      </c>
    </row>
    <row r="104" spans="1:2" x14ac:dyDescent="0.25">
      <c r="A104" s="3" t="s">
        <v>99</v>
      </c>
      <c r="B104" s="5">
        <f>250</f>
        <v>250</v>
      </c>
    </row>
    <row r="105" spans="1:2" x14ac:dyDescent="0.25">
      <c r="A105" s="3" t="s">
        <v>100</v>
      </c>
      <c r="B105" s="5">
        <f>5500</f>
        <v>5500</v>
      </c>
    </row>
    <row r="106" spans="1:2" x14ac:dyDescent="0.25">
      <c r="A106" s="3" t="s">
        <v>101</v>
      </c>
      <c r="B106" s="5">
        <f>800</f>
        <v>800</v>
      </c>
    </row>
    <row r="107" spans="1:2" x14ac:dyDescent="0.25">
      <c r="A107" s="3" t="s">
        <v>102</v>
      </c>
      <c r="B107" s="5">
        <f>1620</f>
        <v>1620</v>
      </c>
    </row>
    <row r="108" spans="1:2" x14ac:dyDescent="0.25">
      <c r="A108" s="3" t="s">
        <v>103</v>
      </c>
      <c r="B108" s="5">
        <f>3600</f>
        <v>3600</v>
      </c>
    </row>
    <row r="109" spans="1:2" x14ac:dyDescent="0.25">
      <c r="A109" s="3" t="s">
        <v>104</v>
      </c>
      <c r="B109" s="5">
        <f>0</f>
        <v>0</v>
      </c>
    </row>
    <row r="110" spans="1:2" x14ac:dyDescent="0.25">
      <c r="A110" s="3" t="s">
        <v>105</v>
      </c>
      <c r="B110" s="6">
        <f>(B108)+(B109)</f>
        <v>3600</v>
      </c>
    </row>
    <row r="111" spans="1:2" x14ac:dyDescent="0.25">
      <c r="A111" s="3" t="s">
        <v>106</v>
      </c>
      <c r="B111" s="5">
        <f>16000</f>
        <v>16000</v>
      </c>
    </row>
    <row r="112" spans="1:2" x14ac:dyDescent="0.25">
      <c r="A112" s="3" t="s">
        <v>107</v>
      </c>
      <c r="B112" s="5">
        <f>6000</f>
        <v>6000</v>
      </c>
    </row>
    <row r="113" spans="1:2" x14ac:dyDescent="0.25">
      <c r="A113" s="3" t="s">
        <v>108</v>
      </c>
      <c r="B113" s="5">
        <f>5500</f>
        <v>5500</v>
      </c>
    </row>
    <row r="114" spans="1:2" x14ac:dyDescent="0.25">
      <c r="A114" s="3" t="s">
        <v>109</v>
      </c>
      <c r="B114" s="6">
        <f>(B112)+(B113)</f>
        <v>11500</v>
      </c>
    </row>
    <row r="115" spans="1:2" x14ac:dyDescent="0.25">
      <c r="A115" s="3" t="s">
        <v>110</v>
      </c>
      <c r="B115" s="5">
        <f>500</f>
        <v>500</v>
      </c>
    </row>
    <row r="116" spans="1:2" x14ac:dyDescent="0.25">
      <c r="A116" s="3" t="s">
        <v>111</v>
      </c>
      <c r="B116" s="5">
        <f>5000</f>
        <v>5000</v>
      </c>
    </row>
    <row r="117" spans="1:2" x14ac:dyDescent="0.25">
      <c r="A117" s="3" t="s">
        <v>112</v>
      </c>
      <c r="B117" s="5">
        <f>200</f>
        <v>200</v>
      </c>
    </row>
    <row r="118" spans="1:2" x14ac:dyDescent="0.25">
      <c r="A118" s="3" t="s">
        <v>113</v>
      </c>
      <c r="B118" s="4"/>
    </row>
    <row r="119" spans="1:2" x14ac:dyDescent="0.25">
      <c r="A119" s="3" t="s">
        <v>114</v>
      </c>
      <c r="B119" s="5">
        <f>2400</f>
        <v>2400</v>
      </c>
    </row>
    <row r="120" spans="1:2" x14ac:dyDescent="0.25">
      <c r="A120" s="3" t="s">
        <v>115</v>
      </c>
      <c r="B120" s="5">
        <f>150</f>
        <v>150</v>
      </c>
    </row>
    <row r="121" spans="1:2" x14ac:dyDescent="0.25">
      <c r="A121" s="3" t="s">
        <v>116</v>
      </c>
      <c r="B121" s="6">
        <f>((B118)+(B119))+(B120)</f>
        <v>2550</v>
      </c>
    </row>
    <row r="122" spans="1:2" x14ac:dyDescent="0.25">
      <c r="A122" s="3" t="s">
        <v>117</v>
      </c>
      <c r="B122" s="5">
        <f>1000</f>
        <v>1000</v>
      </c>
    </row>
    <row r="123" spans="1:2" x14ac:dyDescent="0.25">
      <c r="A123" s="3" t="s">
        <v>118</v>
      </c>
      <c r="B123" s="5">
        <f>150</f>
        <v>150</v>
      </c>
    </row>
    <row r="124" spans="1:2" x14ac:dyDescent="0.25">
      <c r="A124" s="3" t="s">
        <v>119</v>
      </c>
      <c r="B124" s="4"/>
    </row>
    <row r="125" spans="1:2" x14ac:dyDescent="0.25">
      <c r="A125" s="3" t="s">
        <v>120</v>
      </c>
      <c r="B125" s="5">
        <f>4700</f>
        <v>4700</v>
      </c>
    </row>
    <row r="126" spans="1:2" x14ac:dyDescent="0.25">
      <c r="A126" s="3" t="s">
        <v>121</v>
      </c>
      <c r="B126" s="5">
        <f>750</f>
        <v>750</v>
      </c>
    </row>
    <row r="127" spans="1:2" x14ac:dyDescent="0.25">
      <c r="A127" s="3" t="s">
        <v>122</v>
      </c>
      <c r="B127" s="5">
        <f>1500</f>
        <v>1500</v>
      </c>
    </row>
    <row r="128" spans="1:2" x14ac:dyDescent="0.25">
      <c r="A128" s="3" t="s">
        <v>123</v>
      </c>
      <c r="B128" s="6">
        <f>(((B124)+(B125))+(B126))+(B127)</f>
        <v>6950</v>
      </c>
    </row>
    <row r="129" spans="1:2" x14ac:dyDescent="0.25">
      <c r="A129" s="3" t="s">
        <v>124</v>
      </c>
      <c r="B129" s="5">
        <f>50400</f>
        <v>50400</v>
      </c>
    </row>
    <row r="130" spans="1:2" x14ac:dyDescent="0.25">
      <c r="A130" s="3" t="s">
        <v>125</v>
      </c>
      <c r="B130" s="6">
        <f>((((((((((((((((((B97)+(B101))+(B102))+(B103))+(B104))+(B105))+(B106))+(B107))+(B110))+(B111))+(B114))+(B115))+(B116))+(B117))+(B121))+(B122))+(B123))+(B128))+(B129)</f>
        <v>122340</v>
      </c>
    </row>
    <row r="131" spans="1:2" x14ac:dyDescent="0.25">
      <c r="A131" s="3" t="s">
        <v>126</v>
      </c>
      <c r="B131" s="4"/>
    </row>
    <row r="132" spans="1:2" x14ac:dyDescent="0.25">
      <c r="A132" s="3" t="s">
        <v>127</v>
      </c>
      <c r="B132" s="5">
        <f>3200</f>
        <v>3200</v>
      </c>
    </row>
    <row r="133" spans="1:2" x14ac:dyDescent="0.25">
      <c r="A133" s="3" t="s">
        <v>128</v>
      </c>
      <c r="B133" s="5">
        <f>2795</f>
        <v>2795</v>
      </c>
    </row>
    <row r="134" spans="1:2" x14ac:dyDescent="0.25">
      <c r="A134" s="3" t="s">
        <v>129</v>
      </c>
      <c r="B134" s="5">
        <f>455</f>
        <v>455</v>
      </c>
    </row>
    <row r="135" spans="1:2" x14ac:dyDescent="0.25">
      <c r="A135" s="3" t="s">
        <v>130</v>
      </c>
      <c r="B135" s="5">
        <f>1170</f>
        <v>1170</v>
      </c>
    </row>
    <row r="136" spans="1:2" x14ac:dyDescent="0.25">
      <c r="A136" s="3" t="s">
        <v>131</v>
      </c>
      <c r="B136" s="5">
        <f>400</f>
        <v>400</v>
      </c>
    </row>
    <row r="137" spans="1:2" x14ac:dyDescent="0.25">
      <c r="A137" s="3" t="s">
        <v>132</v>
      </c>
      <c r="B137" s="5">
        <f>1600</f>
        <v>1600</v>
      </c>
    </row>
    <row r="138" spans="1:2" x14ac:dyDescent="0.25">
      <c r="A138" s="3" t="s">
        <v>133</v>
      </c>
      <c r="B138" s="5">
        <f>1040</f>
        <v>1040</v>
      </c>
    </row>
    <row r="139" spans="1:2" x14ac:dyDescent="0.25">
      <c r="A139" s="3" t="s">
        <v>134</v>
      </c>
      <c r="B139" s="6">
        <f>(((((((B131)+(B132))+(B133))+(B134))+(B135))+(B136))+(B137))+(B138)</f>
        <v>10660</v>
      </c>
    </row>
    <row r="140" spans="1:2" x14ac:dyDescent="0.25">
      <c r="A140" s="3" t="s">
        <v>135</v>
      </c>
      <c r="B140" s="6">
        <f>((((B75)+(B95))+(B96))+(B130))+(B139)</f>
        <v>152800</v>
      </c>
    </row>
    <row r="141" spans="1:2" x14ac:dyDescent="0.25">
      <c r="A141" s="3" t="s">
        <v>136</v>
      </c>
      <c r="B141" s="6">
        <f>B140</f>
        <v>152800</v>
      </c>
    </row>
    <row r="142" spans="1:2" x14ac:dyDescent="0.25">
      <c r="A142" s="3" t="s">
        <v>137</v>
      </c>
      <c r="B142" s="6">
        <f>(B73)-(B141)</f>
        <v>384820</v>
      </c>
    </row>
    <row r="143" spans="1:2" x14ac:dyDescent="0.25">
      <c r="A143" s="3" t="s">
        <v>138</v>
      </c>
      <c r="B143" s="4"/>
    </row>
    <row r="144" spans="1:2" x14ac:dyDescent="0.25">
      <c r="A144" s="3" t="s">
        <v>139</v>
      </c>
      <c r="B144" s="4"/>
    </row>
    <row r="145" spans="1:2" x14ac:dyDescent="0.25">
      <c r="A145" s="3" t="s">
        <v>140</v>
      </c>
      <c r="B145" s="4"/>
    </row>
    <row r="146" spans="1:2" x14ac:dyDescent="0.25">
      <c r="A146" s="3" t="s">
        <v>141</v>
      </c>
      <c r="B146" s="5">
        <f>122000</f>
        <v>122000</v>
      </c>
    </row>
    <row r="147" spans="1:2" x14ac:dyDescent="0.25">
      <c r="A147" s="3" t="s">
        <v>142</v>
      </c>
      <c r="B147" s="5">
        <f>3000</f>
        <v>3000</v>
      </c>
    </row>
    <row r="148" spans="1:2" x14ac:dyDescent="0.25">
      <c r="A148" s="3" t="s">
        <v>143</v>
      </c>
      <c r="B148" s="5">
        <f>6000</f>
        <v>6000</v>
      </c>
    </row>
    <row r="149" spans="1:2" x14ac:dyDescent="0.25">
      <c r="A149" s="3" t="s">
        <v>144</v>
      </c>
      <c r="B149" s="5">
        <f>45000</f>
        <v>45000</v>
      </c>
    </row>
    <row r="150" spans="1:2" x14ac:dyDescent="0.25">
      <c r="A150" s="3" t="s">
        <v>145</v>
      </c>
      <c r="B150" s="5">
        <f>50000</f>
        <v>50000</v>
      </c>
    </row>
    <row r="151" spans="1:2" x14ac:dyDescent="0.25">
      <c r="A151" s="3" t="s">
        <v>146</v>
      </c>
      <c r="B151" s="5">
        <f>17500</f>
        <v>17500</v>
      </c>
    </row>
    <row r="152" spans="1:2" x14ac:dyDescent="0.25">
      <c r="A152" s="3" t="s">
        <v>147</v>
      </c>
      <c r="B152" s="5">
        <f>50000</f>
        <v>50000</v>
      </c>
    </row>
    <row r="153" spans="1:2" x14ac:dyDescent="0.25">
      <c r="A153" s="3" t="s">
        <v>148</v>
      </c>
      <c r="B153" s="5">
        <f>21901</f>
        <v>21901</v>
      </c>
    </row>
    <row r="154" spans="1:2" x14ac:dyDescent="0.25">
      <c r="A154" s="3" t="s">
        <v>149</v>
      </c>
      <c r="B154" s="6">
        <f>((((((((B145)+(B146))+(B147))+(B148))+(B149))+(B150))+(B151))+(B152))+(B153)</f>
        <v>315401</v>
      </c>
    </row>
    <row r="155" spans="1:2" x14ac:dyDescent="0.25">
      <c r="A155" s="3" t="s">
        <v>150</v>
      </c>
      <c r="B155" s="4"/>
    </row>
    <row r="156" spans="1:2" x14ac:dyDescent="0.25">
      <c r="A156" s="3" t="s">
        <v>151</v>
      </c>
      <c r="B156" s="5">
        <f>1400</f>
        <v>1400</v>
      </c>
    </row>
    <row r="157" spans="1:2" x14ac:dyDescent="0.25">
      <c r="A157" s="3" t="s">
        <v>152</v>
      </c>
      <c r="B157" s="5">
        <f>6000</f>
        <v>6000</v>
      </c>
    </row>
    <row r="158" spans="1:2" x14ac:dyDescent="0.25">
      <c r="A158" s="3" t="s">
        <v>153</v>
      </c>
      <c r="B158" s="5">
        <f>3000</f>
        <v>3000</v>
      </c>
    </row>
    <row r="159" spans="1:2" x14ac:dyDescent="0.25">
      <c r="A159" s="3" t="s">
        <v>154</v>
      </c>
      <c r="B159" s="6">
        <f>(((B155)+(B156))+(B157))+(B158)</f>
        <v>10400</v>
      </c>
    </row>
    <row r="160" spans="1:2" x14ac:dyDescent="0.25">
      <c r="A160" s="3" t="s">
        <v>155</v>
      </c>
      <c r="B160" s="6">
        <f>((B144)+(B154))+(B159)</f>
        <v>325801</v>
      </c>
    </row>
    <row r="161" spans="1:2" x14ac:dyDescent="0.25">
      <c r="A161" s="3" t="s">
        <v>156</v>
      </c>
      <c r="B161" s="4"/>
    </row>
    <row r="162" spans="1:2" x14ac:dyDescent="0.25">
      <c r="A162" s="3" t="s">
        <v>157</v>
      </c>
      <c r="B162" s="4"/>
    </row>
    <row r="163" spans="1:2" x14ac:dyDescent="0.25">
      <c r="A163" s="3" t="s">
        <v>158</v>
      </c>
      <c r="B163" s="4"/>
    </row>
    <row r="164" spans="1:2" x14ac:dyDescent="0.25">
      <c r="A164" s="3" t="s">
        <v>159</v>
      </c>
      <c r="B164" s="5">
        <f>300</f>
        <v>300</v>
      </c>
    </row>
    <row r="165" spans="1:2" x14ac:dyDescent="0.25">
      <c r="A165" s="3" t="s">
        <v>160</v>
      </c>
      <c r="B165" s="5">
        <f>150</f>
        <v>150</v>
      </c>
    </row>
    <row r="166" spans="1:2" x14ac:dyDescent="0.25">
      <c r="A166" s="3" t="s">
        <v>161</v>
      </c>
      <c r="B166" s="5">
        <f>720</f>
        <v>720</v>
      </c>
    </row>
    <row r="167" spans="1:2" x14ac:dyDescent="0.25">
      <c r="A167" s="3" t="s">
        <v>162</v>
      </c>
      <c r="B167" s="5">
        <f>100</f>
        <v>100</v>
      </c>
    </row>
    <row r="168" spans="1:2" x14ac:dyDescent="0.25">
      <c r="A168" s="3" t="s">
        <v>163</v>
      </c>
      <c r="B168" s="5">
        <f>250</f>
        <v>250</v>
      </c>
    </row>
    <row r="169" spans="1:2" x14ac:dyDescent="0.25">
      <c r="A169" s="3" t="s">
        <v>164</v>
      </c>
      <c r="B169" s="6">
        <f>(((((B163)+(B164))+(B165))+(B166))+(B167))+(B168)</f>
        <v>1520</v>
      </c>
    </row>
    <row r="170" spans="1:2" x14ac:dyDescent="0.25">
      <c r="A170" s="3" t="s">
        <v>165</v>
      </c>
      <c r="B170" s="4"/>
    </row>
    <row r="171" spans="1:2" x14ac:dyDescent="0.25">
      <c r="A171" s="3" t="s">
        <v>166</v>
      </c>
      <c r="B171" s="5">
        <f>1424</f>
        <v>1424</v>
      </c>
    </row>
    <row r="172" spans="1:2" x14ac:dyDescent="0.25">
      <c r="A172" s="3" t="s">
        <v>167</v>
      </c>
      <c r="B172" s="5">
        <f>800</f>
        <v>800</v>
      </c>
    </row>
    <row r="173" spans="1:2" x14ac:dyDescent="0.25">
      <c r="A173" s="3" t="s">
        <v>217</v>
      </c>
      <c r="B173" s="5">
        <v>180</v>
      </c>
    </row>
    <row r="174" spans="1:2" x14ac:dyDescent="0.25">
      <c r="A174" s="3" t="s">
        <v>168</v>
      </c>
      <c r="B174" s="5">
        <f>1000</f>
        <v>1000</v>
      </c>
    </row>
    <row r="175" spans="1:2" x14ac:dyDescent="0.25">
      <c r="A175" s="3" t="s">
        <v>218</v>
      </c>
      <c r="B175" s="5">
        <f>150</f>
        <v>150</v>
      </c>
    </row>
    <row r="176" spans="1:2" x14ac:dyDescent="0.25">
      <c r="A176" s="3" t="s">
        <v>169</v>
      </c>
      <c r="B176" s="5">
        <f>5250</f>
        <v>5250</v>
      </c>
    </row>
    <row r="177" spans="1:2" x14ac:dyDescent="0.25">
      <c r="A177" s="3" t="s">
        <v>170</v>
      </c>
      <c r="B177" s="5">
        <f>400</f>
        <v>400</v>
      </c>
    </row>
    <row r="178" spans="1:2" x14ac:dyDescent="0.25">
      <c r="A178" s="3" t="s">
        <v>171</v>
      </c>
      <c r="B178" s="5">
        <f>1800</f>
        <v>1800</v>
      </c>
    </row>
    <row r="179" spans="1:2" x14ac:dyDescent="0.25">
      <c r="A179" s="3" t="s">
        <v>172</v>
      </c>
      <c r="B179" s="6">
        <f>((((((((B170)+(B171))+(B172))+(B174))+(B175))+(B176))+(B177))+(B178))+B173</f>
        <v>11004</v>
      </c>
    </row>
    <row r="180" spans="1:2" x14ac:dyDescent="0.25">
      <c r="A180" s="3" t="s">
        <v>173</v>
      </c>
      <c r="B180" s="4"/>
    </row>
    <row r="181" spans="1:2" x14ac:dyDescent="0.25">
      <c r="A181" s="3" t="s">
        <v>174</v>
      </c>
      <c r="B181" s="5">
        <f>290</f>
        <v>290</v>
      </c>
    </row>
    <row r="182" spans="1:2" x14ac:dyDescent="0.25">
      <c r="A182" s="3" t="s">
        <v>175</v>
      </c>
      <c r="B182" s="5">
        <f>3300</f>
        <v>3300</v>
      </c>
    </row>
    <row r="183" spans="1:2" x14ac:dyDescent="0.25">
      <c r="A183" s="3" t="s">
        <v>176</v>
      </c>
      <c r="B183" s="6">
        <f>((B180)+(B181))+(B182)</f>
        <v>3590</v>
      </c>
    </row>
    <row r="184" spans="1:2" x14ac:dyDescent="0.25">
      <c r="A184" s="3" t="s">
        <v>177</v>
      </c>
      <c r="B184" s="4"/>
    </row>
    <row r="185" spans="1:2" x14ac:dyDescent="0.25">
      <c r="A185" s="3" t="s">
        <v>178</v>
      </c>
      <c r="B185" s="5">
        <f>200</f>
        <v>200</v>
      </c>
    </row>
    <row r="186" spans="1:2" x14ac:dyDescent="0.25">
      <c r="A186" s="3" t="s">
        <v>179</v>
      </c>
      <c r="B186" s="5">
        <f>1200</f>
        <v>1200</v>
      </c>
    </row>
    <row r="187" spans="1:2" x14ac:dyDescent="0.25">
      <c r="A187" s="3" t="s">
        <v>180</v>
      </c>
      <c r="B187" s="5">
        <f>650</f>
        <v>650</v>
      </c>
    </row>
    <row r="188" spans="1:2" x14ac:dyDescent="0.25">
      <c r="A188" s="3" t="s">
        <v>181</v>
      </c>
      <c r="B188" s="5">
        <f>1600</f>
        <v>1600</v>
      </c>
    </row>
    <row r="189" spans="1:2" x14ac:dyDescent="0.25">
      <c r="A189" s="3" t="s">
        <v>182</v>
      </c>
      <c r="B189" s="5">
        <f>1000</f>
        <v>1000</v>
      </c>
    </row>
    <row r="190" spans="1:2" x14ac:dyDescent="0.25">
      <c r="A190" s="3" t="s">
        <v>183</v>
      </c>
      <c r="B190" s="6">
        <f>(((((B184)+(B185))+(B186))+(B187))+(B188))+(B189)</f>
        <v>4650</v>
      </c>
    </row>
    <row r="191" spans="1:2" x14ac:dyDescent="0.25">
      <c r="A191" s="3" t="s">
        <v>184</v>
      </c>
      <c r="B191" s="5">
        <f>804</f>
        <v>804</v>
      </c>
    </row>
    <row r="192" spans="1:2" x14ac:dyDescent="0.25">
      <c r="A192" s="3" t="s">
        <v>185</v>
      </c>
      <c r="B192" s="5">
        <f>550</f>
        <v>550</v>
      </c>
    </row>
    <row r="193" spans="1:2" x14ac:dyDescent="0.25">
      <c r="A193" s="3" t="s">
        <v>186</v>
      </c>
      <c r="B193" s="5">
        <f>60</f>
        <v>60</v>
      </c>
    </row>
    <row r="194" spans="1:2" x14ac:dyDescent="0.25">
      <c r="A194" s="3" t="s">
        <v>187</v>
      </c>
      <c r="B194" s="6">
        <f>(((((((B162)+(B169))+(B179))+(B183))+(B190))+(B191))+(B192))+(B193)</f>
        <v>22178</v>
      </c>
    </row>
    <row r="195" spans="1:2" x14ac:dyDescent="0.25">
      <c r="A195" s="3" t="s">
        <v>188</v>
      </c>
      <c r="B195" s="4"/>
    </row>
    <row r="196" spans="1:2" x14ac:dyDescent="0.25">
      <c r="A196" s="3" t="s">
        <v>189</v>
      </c>
      <c r="B196" s="5">
        <f>3500</f>
        <v>3500</v>
      </c>
    </row>
    <row r="197" spans="1:2" x14ac:dyDescent="0.25">
      <c r="A197" s="3" t="s">
        <v>190</v>
      </c>
      <c r="B197" s="5">
        <f>800</f>
        <v>800</v>
      </c>
    </row>
    <row r="198" spans="1:2" x14ac:dyDescent="0.25">
      <c r="A198" s="3" t="s">
        <v>191</v>
      </c>
      <c r="B198" s="5">
        <f>2500</f>
        <v>2500</v>
      </c>
    </row>
    <row r="199" spans="1:2" x14ac:dyDescent="0.25">
      <c r="A199" s="3" t="s">
        <v>192</v>
      </c>
      <c r="B199" s="5">
        <f>720</f>
        <v>720</v>
      </c>
    </row>
    <row r="200" spans="1:2" x14ac:dyDescent="0.25">
      <c r="A200" s="3" t="s">
        <v>193</v>
      </c>
      <c r="B200" s="6">
        <f>((((B195)+(B196))+(B197))+(B198))+(B199)</f>
        <v>7520</v>
      </c>
    </row>
    <row r="201" spans="1:2" x14ac:dyDescent="0.25">
      <c r="A201" s="3" t="s">
        <v>194</v>
      </c>
      <c r="B201" s="4"/>
    </row>
    <row r="202" spans="1:2" x14ac:dyDescent="0.25">
      <c r="A202" s="3" t="s">
        <v>195</v>
      </c>
      <c r="B202" s="5">
        <f>22800</f>
        <v>22800</v>
      </c>
    </row>
    <row r="203" spans="1:2" x14ac:dyDescent="0.25">
      <c r="A203" s="3" t="s">
        <v>196</v>
      </c>
      <c r="B203" s="4"/>
    </row>
    <row r="204" spans="1:2" x14ac:dyDescent="0.25">
      <c r="A204" s="3" t="s">
        <v>197</v>
      </c>
      <c r="B204" s="5">
        <f>2100</f>
        <v>2100</v>
      </c>
    </row>
    <row r="205" spans="1:2" x14ac:dyDescent="0.25">
      <c r="A205" s="3" t="s">
        <v>198</v>
      </c>
      <c r="B205" s="5">
        <f>200</f>
        <v>200</v>
      </c>
    </row>
    <row r="206" spans="1:2" x14ac:dyDescent="0.25">
      <c r="A206" s="3" t="s">
        <v>199</v>
      </c>
      <c r="B206" s="5">
        <f>240</f>
        <v>240</v>
      </c>
    </row>
    <row r="207" spans="1:2" x14ac:dyDescent="0.25">
      <c r="A207" s="3" t="s">
        <v>200</v>
      </c>
      <c r="B207" s="6">
        <f>(((B203)+(B204))+(B205))+(B206)</f>
        <v>2540</v>
      </c>
    </row>
    <row r="208" spans="1:2" x14ac:dyDescent="0.25">
      <c r="A208" s="3" t="s">
        <v>201</v>
      </c>
      <c r="B208" s="5">
        <f>600</f>
        <v>600</v>
      </c>
    </row>
    <row r="209" spans="1:2" x14ac:dyDescent="0.25">
      <c r="A209" s="3" t="s">
        <v>202</v>
      </c>
      <c r="B209" s="5">
        <f>400</f>
        <v>400</v>
      </c>
    </row>
    <row r="210" spans="1:2" x14ac:dyDescent="0.25">
      <c r="A210" s="3" t="s">
        <v>203</v>
      </c>
      <c r="B210" s="6">
        <f>((((B201)+(B202))+(B207))+(B208))+(B209)</f>
        <v>26340</v>
      </c>
    </row>
    <row r="211" spans="1:2" x14ac:dyDescent="0.25">
      <c r="A211" s="3" t="s">
        <v>204</v>
      </c>
      <c r="B211" s="6">
        <f>(((B161)+(B194))+(B200))+(B210)</f>
        <v>56038</v>
      </c>
    </row>
    <row r="212" spans="1:2" x14ac:dyDescent="0.25">
      <c r="A212" s="3" t="s">
        <v>205</v>
      </c>
      <c r="B212" s="6">
        <f>(B160)+(B211)</f>
        <v>381839</v>
      </c>
    </row>
    <row r="213" spans="1:2" x14ac:dyDescent="0.25">
      <c r="A213" s="3" t="s">
        <v>206</v>
      </c>
      <c r="B213" s="6">
        <f>(B142)-(B212)</f>
        <v>2981</v>
      </c>
    </row>
    <row r="214" spans="1:2" x14ac:dyDescent="0.25">
      <c r="A214" s="3" t="s">
        <v>207</v>
      </c>
      <c r="B214" s="4"/>
    </row>
    <row r="215" spans="1:2" x14ac:dyDescent="0.25">
      <c r="A215" s="3" t="s">
        <v>208</v>
      </c>
      <c r="B215" s="4"/>
    </row>
    <row r="216" spans="1:2" x14ac:dyDescent="0.25">
      <c r="A216" s="3" t="s">
        <v>209</v>
      </c>
      <c r="B216" s="5">
        <f>70</f>
        <v>70</v>
      </c>
    </row>
    <row r="217" spans="1:2" x14ac:dyDescent="0.25">
      <c r="A217" s="3" t="s">
        <v>210</v>
      </c>
      <c r="B217" s="6">
        <f>(B215)+(B216)</f>
        <v>70</v>
      </c>
    </row>
    <row r="218" spans="1:2" x14ac:dyDescent="0.25">
      <c r="A218" s="3" t="s">
        <v>211</v>
      </c>
      <c r="B218" s="6">
        <f>B217</f>
        <v>70</v>
      </c>
    </row>
    <row r="219" spans="1:2" x14ac:dyDescent="0.25">
      <c r="A219" s="3" t="s">
        <v>212</v>
      </c>
      <c r="B219" s="6">
        <f>(B218)-(0)</f>
        <v>70</v>
      </c>
    </row>
    <row r="220" spans="1:2" x14ac:dyDescent="0.25">
      <c r="A220" s="3" t="s">
        <v>213</v>
      </c>
      <c r="B220" s="6">
        <f>(B213)+(B219)</f>
        <v>3051</v>
      </c>
    </row>
    <row r="221" spans="1:2" x14ac:dyDescent="0.25">
      <c r="A221" s="3"/>
      <c r="B221" s="4"/>
    </row>
    <row r="224" spans="1:2" x14ac:dyDescent="0.25">
      <c r="A224" s="7" t="s">
        <v>219</v>
      </c>
      <c r="B224" s="8"/>
    </row>
  </sheetData>
  <mergeCells count="4">
    <mergeCell ref="A1:B1"/>
    <mergeCell ref="A2:B2"/>
    <mergeCell ref="A3:B3"/>
    <mergeCell ref="A224:B2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Collapsed</vt:lpstr>
      <vt:lpstr>Expanded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2023-07-19T15:15:54Z</dcterms:created>
  <dcterms:modified xsi:type="dcterms:W3CDTF">2023-07-19T15:30:11Z</dcterms:modified>
</cp:coreProperties>
</file>