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Gumina\Desktop\"/>
    </mc:Choice>
  </mc:AlternateContent>
  <xr:revisionPtr revIDLastSave="0" documentId="8_{F4E64216-DBFD-48A4-AA2D-0A26EB859E29}" xr6:coauthVersionLast="45" xr6:coauthVersionMax="45" xr10:uidLastSave="{00000000-0000-0000-0000-000000000000}"/>
  <bookViews>
    <workbookView xWindow="-108" yWindow="-108" windowWidth="23256" windowHeight="12576" tabRatio="523" activeTab="1" xr2:uid="{00000000-000D-0000-FFFF-FFFF00000000}"/>
  </bookViews>
  <sheets>
    <sheet name="St of Income" sheetId="2" r:id="rId1"/>
    <sheet name="Budg comp Inc YTD" sheetId="8" r:id="rId2"/>
    <sheet name="Budg comp Exp YTD" sheetId="7" r:id="rId3"/>
    <sheet name="deductions" sheetId="9" r:id="rId4"/>
    <sheet name="Balance sheet" sheetId="1" r:id="rId5"/>
  </sheets>
  <definedNames>
    <definedName name="_xlnm.Print_Area" localSheetId="4">'Balance sheet'!$A$1:$J$70</definedName>
    <definedName name="_xlnm.Print_Area" localSheetId="2">'Budg comp Exp YTD'!$B$6:$T$86</definedName>
    <definedName name="_xlnm.Print_Area" localSheetId="1">'Budg comp Inc YTD'!$B$1:$R$38</definedName>
    <definedName name="_xlnm.Print_Area" localSheetId="0">'St of Income'!$A$1:$L$78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5" i="7" l="1"/>
  <c r="S37" i="8" l="1"/>
  <c r="V88" i="7" s="1"/>
  <c r="G83" i="7" l="1"/>
  <c r="G82" i="7"/>
  <c r="G79" i="7"/>
  <c r="G78" i="7"/>
  <c r="G77" i="7"/>
  <c r="G76" i="7"/>
  <c r="G75" i="7"/>
  <c r="G74" i="7"/>
  <c r="G73" i="7"/>
  <c r="G72" i="7"/>
  <c r="G70" i="7"/>
  <c r="G69" i="7"/>
  <c r="G68" i="7"/>
  <c r="G67" i="7"/>
  <c r="G64" i="7"/>
  <c r="G63" i="7"/>
  <c r="G62" i="7"/>
  <c r="G60" i="7"/>
  <c r="G58" i="7"/>
  <c r="G57" i="7"/>
  <c r="G55" i="7"/>
  <c r="G53" i="7"/>
  <c r="G52" i="7"/>
  <c r="G50" i="7"/>
  <c r="G48" i="7"/>
  <c r="G46" i="7"/>
  <c r="G45" i="7"/>
  <c r="G44" i="7"/>
  <c r="G43" i="7"/>
  <c r="G42" i="7"/>
  <c r="G41" i="7"/>
  <c r="G38" i="7"/>
  <c r="G37" i="7"/>
  <c r="G36" i="7"/>
  <c r="G34" i="7"/>
  <c r="G33" i="7"/>
  <c r="G32" i="7"/>
  <c r="G30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85" i="7" s="1"/>
  <c r="G10" i="7"/>
  <c r="F34" i="8" l="1"/>
  <c r="F33" i="8"/>
  <c r="F31" i="8"/>
  <c r="F29" i="8"/>
  <c r="F28" i="8"/>
  <c r="F26" i="8"/>
  <c r="F24" i="8"/>
  <c r="F22" i="8"/>
  <c r="F21" i="8"/>
  <c r="F18" i="8"/>
  <c r="F15" i="8"/>
  <c r="F14" i="8"/>
  <c r="F12" i="8"/>
  <c r="F9" i="8"/>
  <c r="F37" i="8" l="1"/>
  <c r="R83" i="7"/>
  <c r="R82" i="7"/>
  <c r="L83" i="7"/>
  <c r="L59" i="7"/>
  <c r="L82" i="7"/>
  <c r="L78" i="7"/>
  <c r="E64" i="1"/>
  <c r="T81" i="7"/>
  <c r="T78" i="7"/>
  <c r="T77" i="7"/>
  <c r="T74" i="7"/>
  <c r="T69" i="7"/>
  <c r="T56" i="7"/>
  <c r="T52" i="7"/>
  <c r="T51" i="7"/>
  <c r="T49" i="7"/>
  <c r="T47" i="7"/>
  <c r="T40" i="7"/>
  <c r="T39" i="7"/>
  <c r="T35" i="7"/>
  <c r="T29" i="7"/>
  <c r="Q21" i="8"/>
  <c r="Q18" i="8"/>
  <c r="Q17" i="8"/>
  <c r="Q13" i="8"/>
  <c r="Q12" i="8"/>
  <c r="Q11" i="8"/>
  <c r="Q23" i="8"/>
  <c r="T61" i="7"/>
  <c r="F27" i="2"/>
  <c r="J52" i="1"/>
  <c r="E59" i="1"/>
  <c r="Q29" i="8"/>
  <c r="Q83" i="7"/>
  <c r="Q82" i="7"/>
  <c r="Q78" i="7"/>
  <c r="Q59" i="7"/>
  <c r="J14" i="1"/>
  <c r="H64" i="1"/>
  <c r="H57" i="1"/>
  <c r="E15" i="1"/>
  <c r="I28" i="7"/>
  <c r="H10" i="8"/>
  <c r="K59" i="7"/>
  <c r="K85" i="7" s="1"/>
  <c r="I64" i="7"/>
  <c r="I50" i="7"/>
  <c r="I48" i="7"/>
  <c r="I61" i="7" l="1"/>
  <c r="Q10" i="8"/>
  <c r="J37" i="8"/>
  <c r="J53" i="1"/>
  <c r="I42" i="7" l="1"/>
  <c r="I51" i="7"/>
  <c r="I56" i="7"/>
  <c r="R85" i="7"/>
  <c r="O37" i="8"/>
  <c r="H14" i="8"/>
  <c r="N37" i="8"/>
  <c r="M37" i="8"/>
  <c r="I45" i="7"/>
  <c r="I55" i="7"/>
  <c r="T85" i="7"/>
  <c r="I44" i="7"/>
  <c r="I79" i="7"/>
  <c r="I63" i="7"/>
  <c r="I67" i="7"/>
  <c r="M53" i="7"/>
  <c r="M52" i="7"/>
  <c r="N52" i="7" s="1"/>
  <c r="I39" i="7"/>
  <c r="H28" i="8" l="1"/>
  <c r="Q34" i="8"/>
  <c r="L19" i="2"/>
  <c r="E27" i="1"/>
  <c r="H23" i="8"/>
  <c r="H27" i="1"/>
  <c r="Q37" i="8" l="1"/>
  <c r="I41" i="7"/>
  <c r="J11" i="1" l="1"/>
  <c r="H41" i="1"/>
  <c r="J39" i="1"/>
  <c r="I40" i="7" l="1"/>
  <c r="E41" i="1" l="1"/>
  <c r="I72" i="7" l="1"/>
  <c r="I68" i="7"/>
  <c r="I66" i="7"/>
  <c r="H25" i="8"/>
  <c r="I38" i="7" l="1"/>
  <c r="I69" i="7"/>
  <c r="H16" i="8" l="1"/>
  <c r="J26" i="1" l="1"/>
  <c r="Q85" i="7" l="1"/>
  <c r="H27" i="8"/>
  <c r="H59" i="1"/>
  <c r="H85" i="7"/>
  <c r="H29" i="8"/>
  <c r="J38" i="1" l="1"/>
  <c r="G30" i="8" l="1"/>
  <c r="G37" i="8" s="1"/>
  <c r="L85" i="7" l="1"/>
  <c r="H32" i="8"/>
  <c r="J12" i="1"/>
  <c r="J25" i="1"/>
  <c r="J24" i="1"/>
  <c r="J41" i="1"/>
  <c r="H34" i="8"/>
  <c r="H49" i="1" l="1"/>
  <c r="H35" i="1"/>
  <c r="H19" i="1"/>
  <c r="H15" i="1"/>
  <c r="M54" i="7"/>
  <c r="I49" i="7"/>
  <c r="M46" i="7"/>
  <c r="L42" i="2"/>
  <c r="L47" i="2" s="1"/>
  <c r="E37" i="8" l="1"/>
  <c r="H61" i="1"/>
  <c r="H29" i="1"/>
  <c r="F85" i="7"/>
  <c r="L50" i="2" l="1"/>
  <c r="I34" i="7" l="1"/>
  <c r="J57" i="1"/>
  <c r="J33" i="1"/>
  <c r="H24" i="8"/>
  <c r="I77" i="7"/>
  <c r="J13" i="1"/>
  <c r="J10" i="1"/>
  <c r="J8" i="1"/>
  <c r="I80" i="7"/>
  <c r="H22" i="8"/>
  <c r="H17" i="8"/>
  <c r="H13" i="8"/>
  <c r="H18" i="8"/>
  <c r="I60" i="7"/>
  <c r="H15" i="8" l="1"/>
  <c r="I11" i="7"/>
  <c r="I30" i="7"/>
  <c r="I43" i="7"/>
  <c r="I53" i="7"/>
  <c r="I29" i="7"/>
  <c r="I52" i="7"/>
  <c r="I10" i="7"/>
  <c r="I46" i="7"/>
  <c r="I32" i="7"/>
  <c r="H26" i="8"/>
  <c r="I37" i="7"/>
  <c r="I62" i="7"/>
  <c r="I36" i="7"/>
  <c r="I12" i="7"/>
  <c r="I74" i="7"/>
  <c r="I35" i="7"/>
  <c r="I70" i="7"/>
  <c r="I83" i="7" l="1"/>
  <c r="H31" i="8"/>
  <c r="E49" i="1"/>
  <c r="H33" i="8"/>
  <c r="I54" i="7" l="1"/>
  <c r="M59" i="7" l="1"/>
  <c r="I59" i="7"/>
  <c r="I58" i="7"/>
  <c r="I33" i="7"/>
  <c r="H9" i="8"/>
  <c r="J55" i="1"/>
  <c r="J22" i="1"/>
  <c r="H12" i="8" l="1"/>
  <c r="I78" i="7"/>
  <c r="I76" i="7"/>
  <c r="I75" i="7"/>
  <c r="I73" i="7"/>
  <c r="I57" i="7"/>
  <c r="H21" i="8"/>
  <c r="J64" i="1" l="1"/>
  <c r="J56" i="1"/>
  <c r="J54" i="1"/>
  <c r="J48" i="1"/>
  <c r="J49" i="1" s="1"/>
  <c r="J34" i="1"/>
  <c r="J32" i="1"/>
  <c r="J28" i="1"/>
  <c r="J23" i="1"/>
  <c r="J18" i="1"/>
  <c r="J19" i="1" s="1"/>
  <c r="J9" i="1"/>
  <c r="J15" i="1" s="1"/>
  <c r="J35" i="1" l="1"/>
  <c r="H43" i="1"/>
  <c r="H67" i="1" s="1"/>
  <c r="H30" i="8"/>
  <c r="J58" i="1" l="1"/>
  <c r="J59" i="1" s="1"/>
  <c r="K15" i="8"/>
  <c r="K9" i="8"/>
  <c r="K12" i="8"/>
  <c r="J61" i="1" l="1"/>
  <c r="H69" i="1"/>
  <c r="H37" i="8"/>
  <c r="K21" i="8"/>
  <c r="K26" i="8"/>
  <c r="K37" i="8" l="1"/>
  <c r="L37" i="8" s="1"/>
  <c r="M88" i="7" l="1"/>
  <c r="M78" i="7"/>
  <c r="M76" i="7"/>
  <c r="M75" i="7"/>
  <c r="M74" i="7"/>
  <c r="M73" i="7"/>
  <c r="M66" i="7"/>
  <c r="M62" i="7"/>
  <c r="M60" i="7"/>
  <c r="M58" i="7"/>
  <c r="M33" i="7"/>
  <c r="M29" i="7"/>
  <c r="N53" i="7" l="1"/>
  <c r="N54" i="7"/>
  <c r="N46" i="7"/>
  <c r="N59" i="7"/>
  <c r="N76" i="7"/>
  <c r="N29" i="7"/>
  <c r="N33" i="7"/>
  <c r="N58" i="7"/>
  <c r="N73" i="7"/>
  <c r="N66" i="7"/>
  <c r="N78" i="7"/>
  <c r="N60" i="7"/>
  <c r="L9" i="8"/>
  <c r="L12" i="8"/>
  <c r="L26" i="8"/>
  <c r="L21" i="8"/>
  <c r="N75" i="7"/>
  <c r="N74" i="7"/>
  <c r="M83" i="7"/>
  <c r="N83" i="7" s="1"/>
  <c r="M12" i="7"/>
  <c r="M57" i="7"/>
  <c r="N57" i="7" s="1"/>
  <c r="N62" i="7"/>
  <c r="N12" i="7" l="1"/>
  <c r="I82" i="7"/>
  <c r="I85" i="7" s="1"/>
  <c r="M82" i="7"/>
  <c r="N82" i="7" s="1"/>
  <c r="J27" i="1"/>
  <c r="J29" i="1" s="1"/>
  <c r="J43" i="1" s="1"/>
  <c r="E35" i="1"/>
  <c r="M85" i="7" l="1"/>
  <c r="N85" i="7" s="1"/>
  <c r="E19" i="1" l="1"/>
  <c r="E61" i="1" l="1"/>
  <c r="E29" i="1"/>
  <c r="E43" i="1" l="1"/>
  <c r="E65" i="1" s="1"/>
  <c r="J65" i="1" s="1"/>
  <c r="J67" i="1" s="1"/>
  <c r="J69" i="1" s="1"/>
  <c r="E67" i="1" l="1"/>
  <c r="E69" i="1" l="1"/>
</calcChain>
</file>

<file path=xl/sharedStrings.xml><?xml version="1.0" encoding="utf-8"?>
<sst xmlns="http://schemas.openxmlformats.org/spreadsheetml/2006/main" count="378" uniqueCount="251">
  <si>
    <t>NAMI Tennessee</t>
  </si>
  <si>
    <t>ASSETS</t>
  </si>
  <si>
    <t>Current Assets</t>
  </si>
  <si>
    <t xml:space="preserve">  Checking - Regions</t>
  </si>
  <si>
    <t xml:space="preserve">  Petty Cash</t>
  </si>
  <si>
    <t>$</t>
  </si>
  <si>
    <t>Accounts Receivable</t>
  </si>
  <si>
    <t xml:space="preserve">   Accounts Receivable</t>
  </si>
  <si>
    <t xml:space="preserve">     Total Accounts Receivable</t>
  </si>
  <si>
    <t>Other Current Assets</t>
  </si>
  <si>
    <t xml:space="preserve">     Total Other Current Assets</t>
  </si>
  <si>
    <t>Total Current Assets</t>
  </si>
  <si>
    <t>Fixed Assets</t>
  </si>
  <si>
    <t xml:space="preserve">  Accumulated Depreciation</t>
  </si>
  <si>
    <t>Total Fixed Assets</t>
  </si>
  <si>
    <t>Other Assets</t>
  </si>
  <si>
    <t>Total Other Assets</t>
  </si>
  <si>
    <t>Total Assets</t>
  </si>
  <si>
    <t>LIABILITIES AND NET ASSETS</t>
  </si>
  <si>
    <t>Current Liabilities</t>
  </si>
  <si>
    <t xml:space="preserve">  Accounts Payable</t>
  </si>
  <si>
    <t xml:space="preserve">      Total Accounts Payable</t>
  </si>
  <si>
    <t>Other Current Liabilities</t>
  </si>
  <si>
    <t xml:space="preserve">  Affiliates - Ongoing Funds</t>
  </si>
  <si>
    <t xml:space="preserve">  Payroll Liabilities</t>
  </si>
  <si>
    <t xml:space="preserve">      Total Other Current Liabilities</t>
  </si>
  <si>
    <t>Total Current Liabilities</t>
  </si>
  <si>
    <t>Net Assets</t>
  </si>
  <si>
    <t xml:space="preserve">  Net Assets</t>
  </si>
  <si>
    <t>Total Net Assets</t>
  </si>
  <si>
    <t>Total Liabilities and Net Assets</t>
  </si>
  <si>
    <t>INCOME</t>
  </si>
  <si>
    <t>Community Shares</t>
  </si>
  <si>
    <t>Contributions</t>
  </si>
  <si>
    <t>TOTAL INCOME</t>
  </si>
  <si>
    <t>EXPENSES</t>
  </si>
  <si>
    <t>Bank Fees</t>
  </si>
  <si>
    <t>Professional Fees</t>
  </si>
  <si>
    <t>Audit</t>
  </si>
  <si>
    <t>IT/internet/computers</t>
  </si>
  <si>
    <t>Conferences &amp; Meetings</t>
  </si>
  <si>
    <t>Board Meetings</t>
  </si>
  <si>
    <t>Supplies</t>
  </si>
  <si>
    <t>Telephone</t>
  </si>
  <si>
    <t>Wages &amp; Benefits</t>
  </si>
  <si>
    <t>Benefits</t>
  </si>
  <si>
    <t>Health/Dental Insurance</t>
  </si>
  <si>
    <t>Insurance</t>
  </si>
  <si>
    <t>Payroll Taxes</t>
  </si>
  <si>
    <t>Wages</t>
  </si>
  <si>
    <t>Miscellaneous</t>
  </si>
  <si>
    <t>TOTAL EXPENSE</t>
  </si>
  <si>
    <t>Postage</t>
  </si>
  <si>
    <t>GAIN/LOSS ON OPERATIONS</t>
  </si>
  <si>
    <t>Printing</t>
  </si>
  <si>
    <t>Actual Expenses Compared to Budget</t>
  </si>
  <si>
    <t>Actual</t>
  </si>
  <si>
    <t>Annual</t>
  </si>
  <si>
    <t>% of Annual</t>
  </si>
  <si>
    <t>(over)</t>
  </si>
  <si>
    <t>Budget</t>
  </si>
  <si>
    <t xml:space="preserve"> Budget spent</t>
  </si>
  <si>
    <t>under budget %</t>
  </si>
  <si>
    <t>Equipment Rental &amp; Maint.</t>
  </si>
  <si>
    <t>Licenses &amp; Fees</t>
  </si>
  <si>
    <t>Travel - staff</t>
  </si>
  <si>
    <t>Retirement Expense</t>
  </si>
  <si>
    <t>Actual Income Compared to Budget</t>
  </si>
  <si>
    <t>(under)</t>
  </si>
  <si>
    <t xml:space="preserve"> Budget rec'd</t>
  </si>
  <si>
    <t>over budget %</t>
  </si>
  <si>
    <t xml:space="preserve"> </t>
  </si>
  <si>
    <t>Fiscal Funds</t>
  </si>
  <si>
    <t xml:space="preserve">  Checking - Patsy Cronk Mem. Fund</t>
  </si>
  <si>
    <t xml:space="preserve">  Gain or Loss on Operations</t>
  </si>
  <si>
    <t xml:space="preserve">     Total Cash on hand</t>
  </si>
  <si>
    <t>Childcare</t>
  </si>
  <si>
    <t xml:space="preserve">  Dues, Membership Clearing</t>
  </si>
  <si>
    <t xml:space="preserve">  CODE Film</t>
  </si>
  <si>
    <t>Grants:</t>
  </si>
  <si>
    <t>Nat. Conv &amp; other</t>
  </si>
  <si>
    <t>Benefits &amp; Payroll Taxes total</t>
  </si>
  <si>
    <t>Variance Report:</t>
  </si>
  <si>
    <t>Expenses:</t>
  </si>
  <si>
    <t>should be:</t>
  </si>
  <si>
    <t>Income:</t>
  </si>
  <si>
    <t>Variance</t>
  </si>
  <si>
    <t>Last YTD</t>
  </si>
  <si>
    <t>Services &amp; Other Income</t>
  </si>
  <si>
    <t xml:space="preserve">  Prepaid Insurance</t>
  </si>
  <si>
    <t xml:space="preserve">  Deferred Income</t>
  </si>
  <si>
    <t xml:space="preserve">  Prepaid Expenses</t>
  </si>
  <si>
    <t>Fundraising Events:</t>
  </si>
  <si>
    <t>FSS training</t>
  </si>
  <si>
    <t>Affiliate Development:</t>
  </si>
  <si>
    <t>Aff Regional Meetings</t>
  </si>
  <si>
    <t>IT Services</t>
  </si>
  <si>
    <t>State Convention</t>
  </si>
  <si>
    <t>Unallowable Sales Tax Exp</t>
  </si>
  <si>
    <t>Promotional Materials</t>
  </si>
  <si>
    <t>NAMI Radio</t>
  </si>
  <si>
    <t>Notes:</t>
  </si>
  <si>
    <t xml:space="preserve">  Checking - Pinnacle</t>
  </si>
  <si>
    <t>Vision of Hope Dinner</t>
  </si>
  <si>
    <t>Grants - Other:</t>
  </si>
  <si>
    <t>Education Classes:</t>
  </si>
  <si>
    <t>BASICS trainings</t>
  </si>
  <si>
    <t>IOOV</t>
  </si>
  <si>
    <t>CODE movie sales</t>
  </si>
  <si>
    <t>Life Insurance</t>
  </si>
  <si>
    <t>Affiliate Classes</t>
  </si>
  <si>
    <t xml:space="preserve">  Furniture &amp; Equipment</t>
  </si>
  <si>
    <t xml:space="preserve">  Payroll Clearing</t>
  </si>
  <si>
    <t>Conf/Trainings Attended/Org Dues</t>
  </si>
  <si>
    <t>NAMI State Convention</t>
  </si>
  <si>
    <t>Convention Registrations</t>
  </si>
  <si>
    <t>Convention Sponsors</t>
  </si>
  <si>
    <t>Fundraising:</t>
  </si>
  <si>
    <t>Peer 2 Peer</t>
  </si>
  <si>
    <t xml:space="preserve">   Mental Health Parity</t>
  </si>
  <si>
    <t>Membership dues received</t>
  </si>
  <si>
    <t>Rent &amp; Storage</t>
  </si>
  <si>
    <t>HSA Benefit</t>
  </si>
  <si>
    <t xml:space="preserve">  Stamps.com postage acct</t>
  </si>
  <si>
    <t>Merchandise (T-shirts, jewelry)</t>
  </si>
  <si>
    <t xml:space="preserve">  Paypal OnLine Account</t>
  </si>
  <si>
    <t xml:space="preserve">  U S Postage Deposit</t>
  </si>
  <si>
    <t>Credit Card rewards cash</t>
  </si>
  <si>
    <t xml:space="preserve">   Accumulated Amoritization</t>
  </si>
  <si>
    <t>NOTES:</t>
  </si>
  <si>
    <t>Miscellaneous Income</t>
  </si>
  <si>
    <t>Statement of Financial Position</t>
  </si>
  <si>
    <t xml:space="preserve">  Undeposited Funds</t>
  </si>
  <si>
    <t>Statement of Income</t>
  </si>
  <si>
    <t>Affiliate Regional Mtgs</t>
  </si>
  <si>
    <t>BASICS Trainings</t>
  </si>
  <si>
    <t>Gain or Loss on Investment</t>
  </si>
  <si>
    <t>NAMI TN Endowment Disbursement</t>
  </si>
  <si>
    <t>Lobbying</t>
  </si>
  <si>
    <t>Grassroots Training</t>
  </si>
  <si>
    <t>BRIDGES trainings</t>
  </si>
  <si>
    <t xml:space="preserve">  Money Market - Pinnacle</t>
  </si>
  <si>
    <t>Interest earned</t>
  </si>
  <si>
    <t>IOOV Trainer</t>
  </si>
  <si>
    <t>Vision of Hope Gala Prof Fees</t>
  </si>
  <si>
    <t>Interest Earned</t>
  </si>
  <si>
    <t xml:space="preserve">   Long Term Investment</t>
  </si>
  <si>
    <t>Ending the Silence</t>
  </si>
  <si>
    <t>CIT DOJ</t>
  </si>
  <si>
    <t>CODE Movie sales</t>
  </si>
  <si>
    <t>FSS Training</t>
  </si>
  <si>
    <t>Fiscal Funds - expense</t>
  </si>
  <si>
    <t>Staff Longevity Pay</t>
  </si>
  <si>
    <t>Grants Other:</t>
  </si>
  <si>
    <t>Mental Health Parity</t>
  </si>
  <si>
    <t>NAMI Presentations</t>
  </si>
  <si>
    <t>Graphic and Web Design</t>
  </si>
  <si>
    <t>CIT DOJ Travel</t>
  </si>
  <si>
    <t>Ending The Silence presentations</t>
  </si>
  <si>
    <t>NAMI Walks</t>
  </si>
  <si>
    <t>BRIDGES Training</t>
  </si>
  <si>
    <t>IOOV Training</t>
  </si>
  <si>
    <t>Miscellaneous Expense - credit card charges to distribute</t>
  </si>
  <si>
    <t>NAMI Walks Prof. Fees</t>
  </si>
  <si>
    <t>NAMI Walks - Knoxville</t>
  </si>
  <si>
    <t>Current</t>
  </si>
  <si>
    <t>Month</t>
  </si>
  <si>
    <t>FSS Focus Groups</t>
  </si>
  <si>
    <t xml:space="preserve">  Accrued Liabilities</t>
  </si>
  <si>
    <t>Events</t>
  </si>
  <si>
    <t>Vision of Hope Gala</t>
  </si>
  <si>
    <t>Ending The Silence classes</t>
  </si>
  <si>
    <t>CIT</t>
  </si>
  <si>
    <t>FY 18 - 19</t>
  </si>
  <si>
    <t>CIT Expansion</t>
  </si>
  <si>
    <t xml:space="preserve">  Secondary Money Market</t>
  </si>
  <si>
    <t>Licenses &amp; taxes</t>
  </si>
  <si>
    <t>Graphic &amp; Web Design</t>
  </si>
  <si>
    <t>Unallowable Sales Tax</t>
  </si>
  <si>
    <t>NAMI TN Endowment</t>
  </si>
  <si>
    <t xml:space="preserve">  Accrued Expenses</t>
  </si>
  <si>
    <t>Misc Income - Stribling Estate</t>
  </si>
  <si>
    <t>Fam to Fam/WHM Training</t>
  </si>
  <si>
    <t>BRIDGES Trainer</t>
  </si>
  <si>
    <t>BRIDGES trainer</t>
  </si>
  <si>
    <t>Travel - CIT</t>
  </si>
  <si>
    <t>Projection</t>
  </si>
  <si>
    <t xml:space="preserve">   Ending the Silence</t>
  </si>
  <si>
    <t>CIT - DOJ</t>
  </si>
  <si>
    <t>Prof Fees - Sam Cochran</t>
  </si>
  <si>
    <t>Train the Trainer</t>
  </si>
  <si>
    <t>Local Dept. Support</t>
  </si>
  <si>
    <t>Travel:</t>
  </si>
  <si>
    <t>Project Director</t>
  </si>
  <si>
    <t>Executive Director</t>
  </si>
  <si>
    <t>CIT International:</t>
  </si>
  <si>
    <t>CIT Training</t>
  </si>
  <si>
    <t>Supplies/Printing</t>
  </si>
  <si>
    <t>Univ of Memphis</t>
  </si>
  <si>
    <t>Volunteer</t>
  </si>
  <si>
    <t>For the Period YTD Ending March, 2020</t>
  </si>
  <si>
    <t>7/1/19 - 03/31/20</t>
  </si>
  <si>
    <t>Miscellaneous Prof. Fees</t>
  </si>
  <si>
    <t>Prof. Fees Miscellaneous - Attorney's fees Stribling estate</t>
  </si>
  <si>
    <t>Kim Rush King Oct 1 - Nov 30</t>
  </si>
  <si>
    <t>9 month</t>
  </si>
  <si>
    <t>Fundraising Events Expense:</t>
  </si>
  <si>
    <t>Misc Income - Stribling Estate, $7500</t>
  </si>
  <si>
    <t>ETS web</t>
  </si>
  <si>
    <t>Proposed</t>
  </si>
  <si>
    <t>CIT  state</t>
  </si>
  <si>
    <t>CIT other</t>
  </si>
  <si>
    <t>vanderbilt</t>
  </si>
  <si>
    <t>bank fees</t>
  </si>
  <si>
    <t>cc proc fees 300</t>
  </si>
  <si>
    <t>eventbrite 450</t>
  </si>
  <si>
    <t>paypal 250</t>
  </si>
  <si>
    <t>QB 500</t>
  </si>
  <si>
    <t>QB payroll 950</t>
  </si>
  <si>
    <t>stripe 150</t>
  </si>
  <si>
    <t>equip rental</t>
  </si>
  <si>
    <t>avg 9 mos dex &amp; Cit</t>
  </si>
  <si>
    <t>insurance</t>
  </si>
  <si>
    <t>lic &amp; taxes</t>
  </si>
  <si>
    <t>rent</t>
  </si>
  <si>
    <t>per lease</t>
  </si>
  <si>
    <t>telephone</t>
  </si>
  <si>
    <t>unitel</t>
  </si>
  <si>
    <t>verizon</t>
  </si>
  <si>
    <t>comcast</t>
  </si>
  <si>
    <t>IT Fees</t>
  </si>
  <si>
    <t>kindful</t>
  </si>
  <si>
    <t>other</t>
  </si>
  <si>
    <t>p/r taxes</t>
  </si>
  <si>
    <t>soc sec &amp; med</t>
  </si>
  <si>
    <t>wages, no inc no long</t>
  </si>
  <si>
    <t>benefits</t>
  </si>
  <si>
    <t>may 1 3 mos  +  9 mos of year 2</t>
  </si>
  <si>
    <t>gone if cuts</t>
  </si>
  <si>
    <t>gone to facebook live</t>
  </si>
  <si>
    <t>NAMI facebook live</t>
  </si>
  <si>
    <t>once per month seeking sponsor</t>
  </si>
  <si>
    <t>for now may pay for books only</t>
  </si>
  <si>
    <t>no kims salary or prof fees    will be moved to other line items in budj process   3/9mos</t>
  </si>
  <si>
    <t>Fam to Fam Trng</t>
  </si>
  <si>
    <t>roger travel</t>
  </si>
  <si>
    <t>other trainers</t>
  </si>
  <si>
    <t>reduced if cuts</t>
  </si>
  <si>
    <t>see doj line</t>
  </si>
  <si>
    <t>FY 20-21</t>
  </si>
  <si>
    <t>s/b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</si>
</sst>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5" fillId="0" borderId="0" xfId="0" applyFont="1" applyFill="1"/>
    <xf numFmtId="4" fontId="0" fillId="0" borderId="0" xfId="0" applyNumberFormat="1" applyFill="1" applyBorder="1"/>
    <xf numFmtId="4" fontId="0" fillId="0" borderId="1" xfId="0" applyNumberFormat="1" applyFill="1" applyBorder="1"/>
    <xf numFmtId="4" fontId="0" fillId="0" borderId="0" xfId="0" applyNumberFormat="1" applyFill="1"/>
    <xf numFmtId="0" fontId="5" fillId="0" borderId="0" xfId="0" applyFont="1" applyFill="1" applyBorder="1"/>
    <xf numFmtId="4" fontId="5" fillId="0" borderId="0" xfId="0" applyNumberFormat="1" applyFont="1" applyFill="1" applyBorder="1"/>
    <xf numFmtId="4" fontId="2" fillId="0" borderId="0" xfId="0" applyNumberFormat="1" applyFont="1" applyFill="1" applyBorder="1"/>
    <xf numFmtId="0" fontId="0" fillId="0" borderId="0" xfId="0" applyFill="1" applyBorder="1"/>
    <xf numFmtId="0" fontId="2" fillId="0" borderId="2" xfId="0" applyFont="1" applyFill="1" applyBorder="1"/>
    <xf numFmtId="4" fontId="5" fillId="0" borderId="2" xfId="0" applyNumberFormat="1" applyFont="1" applyFill="1" applyBorder="1"/>
    <xf numFmtId="4" fontId="0" fillId="0" borderId="0" xfId="0" applyNumberFormat="1" applyFill="1" applyAlignment="1">
      <alignment horizontal="centerContinuous"/>
    </xf>
    <xf numFmtId="4" fontId="0" fillId="0" borderId="3" xfId="0" applyNumberFormat="1" applyFill="1" applyBorder="1"/>
    <xf numFmtId="4" fontId="5" fillId="0" borderId="1" xfId="0" applyNumberFormat="1" applyFont="1" applyFill="1" applyBorder="1"/>
    <xf numFmtId="0" fontId="2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/>
    <xf numFmtId="4" fontId="2" fillId="0" borderId="0" xfId="0" applyNumberFormat="1" applyFont="1" applyFill="1"/>
    <xf numFmtId="4" fontId="2" fillId="0" borderId="1" xfId="0" applyNumberFormat="1" applyFont="1" applyFill="1" applyBorder="1"/>
    <xf numFmtId="0" fontId="2" fillId="0" borderId="4" xfId="0" applyFont="1" applyBorder="1"/>
    <xf numFmtId="0" fontId="2" fillId="0" borderId="4" xfId="0" applyFont="1" applyFill="1" applyBorder="1"/>
    <xf numFmtId="4" fontId="2" fillId="0" borderId="0" xfId="0" applyNumberFormat="1" applyFont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3" fillId="0" borderId="0" xfId="0" applyFont="1" applyFill="1"/>
    <xf numFmtId="10" fontId="2" fillId="0" borderId="0" xfId="0" applyNumberFormat="1" applyFont="1" applyFill="1"/>
    <xf numFmtId="40" fontId="2" fillId="0" borderId="0" xfId="0" applyNumberFormat="1" applyFont="1" applyFill="1"/>
    <xf numFmtId="4" fontId="2" fillId="0" borderId="2" xfId="0" applyNumberFormat="1" applyFont="1" applyFill="1" applyBorder="1"/>
    <xf numFmtId="10" fontId="2" fillId="0" borderId="2" xfId="0" applyNumberFormat="1" applyFont="1" applyFill="1" applyBorder="1"/>
    <xf numFmtId="0" fontId="2" fillId="0" borderId="0" xfId="0" applyFont="1" applyFill="1" applyAlignment="1">
      <alignment horizontal="right"/>
    </xf>
    <xf numFmtId="9" fontId="2" fillId="0" borderId="0" xfId="0" applyNumberFormat="1" applyFont="1" applyFill="1"/>
    <xf numFmtId="10" fontId="0" fillId="0" borderId="0" xfId="0" applyNumberFormat="1" applyFill="1"/>
    <xf numFmtId="0" fontId="0" fillId="0" borderId="0" xfId="0" applyFill="1" applyAlignment="1">
      <alignment horizontal="left"/>
    </xf>
    <xf numFmtId="4" fontId="0" fillId="0" borderId="2" xfId="0" applyNumberFormat="1" applyFill="1" applyBorder="1"/>
    <xf numFmtId="0" fontId="0" fillId="0" borderId="0" xfId="0" applyFill="1" applyAlignment="1">
      <alignment horizontal="right"/>
    </xf>
    <xf numFmtId="9" fontId="0" fillId="0" borderId="0" xfId="0" applyNumberFormat="1" applyFill="1"/>
    <xf numFmtId="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/>
    <xf numFmtId="0" fontId="10" fillId="0" borderId="0" xfId="0" applyFont="1"/>
    <xf numFmtId="2" fontId="2" fillId="0" borderId="2" xfId="0" applyNumberFormat="1" applyFont="1" applyFill="1" applyBorder="1"/>
    <xf numFmtId="40" fontId="2" fillId="0" borderId="2" xfId="0" applyNumberFormat="1" applyFont="1" applyFill="1" applyBorder="1"/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0" fontId="2" fillId="0" borderId="5" xfId="0" applyFont="1" applyBorder="1"/>
    <xf numFmtId="0" fontId="0" fillId="0" borderId="0" xfId="0" applyFill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0" fontId="0" fillId="0" borderId="0" xfId="0" applyBorder="1"/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Border="1" applyAlignment="1">
      <alignment horizontal="center"/>
    </xf>
    <xf numFmtId="4" fontId="2" fillId="0" borderId="6" xfId="0" applyNumberFormat="1" applyFont="1" applyFill="1" applyBorder="1"/>
    <xf numFmtId="0" fontId="2" fillId="0" borderId="0" xfId="0" applyFont="1" applyBorder="1"/>
    <xf numFmtId="4" fontId="0" fillId="3" borderId="0" xfId="0" applyNumberFormat="1" applyFill="1"/>
    <xf numFmtId="0" fontId="2" fillId="3" borderId="0" xfId="0" applyFont="1" applyFill="1"/>
    <xf numFmtId="0" fontId="0" fillId="5" borderId="0" xfId="0" applyFill="1"/>
    <xf numFmtId="4" fontId="0" fillId="4" borderId="0" xfId="0" applyNumberFormat="1" applyFill="1"/>
    <xf numFmtId="4" fontId="0" fillId="6" borderId="0" xfId="0" applyNumberFormat="1" applyFill="1"/>
    <xf numFmtId="0" fontId="2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8"/>
  <sheetViews>
    <sheetView topLeftCell="A25" workbookViewId="0">
      <selection activeCell="B1" sqref="B1"/>
    </sheetView>
  </sheetViews>
  <sheetFormatPr defaultRowHeight="13.2" x14ac:dyDescent="0.25"/>
  <cols>
    <col min="1" max="1" width="2.44140625" customWidth="1"/>
    <col min="2" max="2" width="2.6640625" customWidth="1"/>
    <col min="3" max="3" width="3" customWidth="1"/>
    <col min="4" max="4" width="2.33203125" customWidth="1"/>
    <col min="5" max="5" width="25.109375" customWidth="1"/>
    <col min="6" max="6" width="14" style="5" bestFit="1" customWidth="1"/>
    <col min="7" max="7" width="8.6640625" customWidth="1"/>
    <col min="8" max="9" width="3" customWidth="1"/>
    <col min="10" max="10" width="2.33203125" customWidth="1"/>
    <col min="11" max="11" width="24.5546875" customWidth="1"/>
    <col min="12" max="12" width="16" customWidth="1"/>
  </cols>
  <sheetData>
    <row r="1" spans="1:14" ht="15" x14ac:dyDescent="0.25">
      <c r="A1" s="21"/>
      <c r="B1" s="22" t="s">
        <v>0</v>
      </c>
      <c r="C1" s="23"/>
      <c r="D1" s="23"/>
      <c r="E1" s="23"/>
      <c r="F1" s="24"/>
      <c r="G1" s="23"/>
      <c r="H1" s="23"/>
      <c r="I1" s="23"/>
      <c r="J1" s="23"/>
      <c r="K1" s="23"/>
      <c r="L1" s="23"/>
    </row>
    <row r="2" spans="1:14" ht="15" x14ac:dyDescent="0.25">
      <c r="A2" s="21"/>
      <c r="B2" s="22" t="s">
        <v>133</v>
      </c>
      <c r="C2" s="23"/>
      <c r="D2" s="23"/>
      <c r="E2" s="23"/>
      <c r="F2" s="24"/>
      <c r="G2" s="23"/>
      <c r="H2" s="23"/>
      <c r="I2" s="23"/>
      <c r="J2" s="23"/>
      <c r="K2" s="23"/>
      <c r="L2" s="23"/>
    </row>
    <row r="3" spans="1:14" ht="15" x14ac:dyDescent="0.25">
      <c r="A3" s="21"/>
      <c r="B3" s="1" t="s">
        <v>200</v>
      </c>
      <c r="C3" s="23"/>
      <c r="D3" s="23"/>
      <c r="E3" s="23"/>
      <c r="F3" s="24"/>
      <c r="G3" s="23"/>
      <c r="H3" s="23"/>
      <c r="I3" s="23"/>
      <c r="J3" s="23"/>
      <c r="K3" s="23"/>
      <c r="L3" s="23"/>
    </row>
    <row r="4" spans="1:14" ht="15" x14ac:dyDescent="0.25">
      <c r="A4" s="21"/>
      <c r="B4" s="25"/>
      <c r="C4" s="21"/>
      <c r="D4" s="21"/>
      <c r="E4" s="21"/>
      <c r="F4" s="4"/>
      <c r="G4" s="21"/>
      <c r="H4" s="21"/>
      <c r="I4" s="21"/>
      <c r="J4" s="21"/>
      <c r="K4" s="21"/>
      <c r="L4" s="21"/>
    </row>
    <row r="5" spans="1:14" ht="15" x14ac:dyDescent="0.25">
      <c r="A5" s="21"/>
      <c r="B5" s="25"/>
      <c r="C5" s="21"/>
      <c r="D5" s="21"/>
      <c r="E5" s="21"/>
      <c r="F5" s="4"/>
      <c r="G5" s="21"/>
      <c r="H5" s="21"/>
      <c r="I5" s="21"/>
      <c r="J5" s="21"/>
      <c r="K5" s="21"/>
      <c r="L5" s="21"/>
    </row>
    <row r="6" spans="1:14" ht="15" x14ac:dyDescent="0.25">
      <c r="A6" s="21"/>
      <c r="B6" s="25"/>
      <c r="C6" s="21"/>
      <c r="D6" s="21"/>
      <c r="E6" s="21"/>
      <c r="F6" s="4"/>
      <c r="G6" s="21"/>
      <c r="H6" s="21"/>
      <c r="I6" s="21"/>
      <c r="J6" s="21"/>
      <c r="K6" s="21"/>
      <c r="L6" s="21"/>
    </row>
    <row r="7" spans="1:14" x14ac:dyDescent="0.25">
      <c r="A7" s="21"/>
      <c r="B7" s="26" t="s">
        <v>31</v>
      </c>
      <c r="C7" s="21"/>
      <c r="D7" s="21"/>
      <c r="E7" s="21"/>
      <c r="F7" s="4"/>
      <c r="G7" s="4"/>
      <c r="H7" s="21"/>
      <c r="I7" s="4"/>
      <c r="J7" s="4"/>
      <c r="K7" s="4"/>
      <c r="L7" s="4"/>
      <c r="M7" s="5"/>
      <c r="N7" s="5"/>
    </row>
    <row r="8" spans="1:14" x14ac:dyDescent="0.25">
      <c r="A8" s="21"/>
      <c r="B8" s="26"/>
      <c r="C8" s="5" t="s">
        <v>33</v>
      </c>
      <c r="D8" s="5"/>
      <c r="E8" s="21"/>
      <c r="F8" s="27">
        <v>34295.129999999997</v>
      </c>
      <c r="G8" s="4"/>
      <c r="H8" s="21"/>
      <c r="I8" s="21" t="s">
        <v>114</v>
      </c>
      <c r="J8" s="5"/>
      <c r="K8" s="4"/>
      <c r="L8" s="27">
        <v>1439.61</v>
      </c>
      <c r="M8" s="5"/>
      <c r="N8" s="5"/>
    </row>
    <row r="9" spans="1:14" x14ac:dyDescent="0.25">
      <c r="A9" s="21"/>
      <c r="B9" s="26"/>
      <c r="C9" t="s">
        <v>171</v>
      </c>
      <c r="D9" s="5"/>
      <c r="E9" s="21"/>
      <c r="F9" s="27">
        <v>1000</v>
      </c>
      <c r="G9" s="4"/>
      <c r="H9" s="21"/>
      <c r="I9" s="45"/>
      <c r="J9" s="21" t="s">
        <v>115</v>
      </c>
      <c r="K9" s="4"/>
      <c r="L9" s="27">
        <v>10540.03</v>
      </c>
      <c r="M9" s="5"/>
      <c r="N9" s="5"/>
    </row>
    <row r="10" spans="1:14" x14ac:dyDescent="0.25">
      <c r="A10" s="21"/>
      <c r="B10" s="26"/>
      <c r="C10" s="5" t="s">
        <v>117</v>
      </c>
      <c r="D10" s="5"/>
      <c r="E10" s="21"/>
      <c r="F10" s="27"/>
      <c r="G10" s="4"/>
      <c r="H10" s="21"/>
      <c r="I10" s="45"/>
      <c r="J10" s="21" t="s">
        <v>116</v>
      </c>
      <c r="K10" s="4"/>
      <c r="L10" s="27">
        <v>29500</v>
      </c>
      <c r="M10" s="5"/>
      <c r="N10" s="5"/>
    </row>
    <row r="11" spans="1:14" x14ac:dyDescent="0.25">
      <c r="A11" s="21"/>
      <c r="B11" s="26"/>
      <c r="C11" s="5"/>
      <c r="D11" s="5" t="s">
        <v>32</v>
      </c>
      <c r="E11" s="21"/>
      <c r="F11" s="27">
        <v>3252.3</v>
      </c>
      <c r="G11" s="4"/>
      <c r="H11" s="21"/>
      <c r="I11" s="45" t="s">
        <v>179</v>
      </c>
      <c r="J11" s="21"/>
      <c r="K11" s="4"/>
      <c r="L11" s="27">
        <v>1100</v>
      </c>
      <c r="M11" s="5"/>
      <c r="N11" s="5"/>
    </row>
    <row r="12" spans="1:14" x14ac:dyDescent="0.25">
      <c r="A12" s="21"/>
      <c r="B12" s="26"/>
      <c r="C12" s="5"/>
      <c r="D12" s="5" t="s">
        <v>159</v>
      </c>
      <c r="E12" s="21"/>
      <c r="F12" s="27">
        <v>26231.17</v>
      </c>
      <c r="G12" s="4"/>
      <c r="H12" s="4"/>
      <c r="I12" s="45" t="s">
        <v>88</v>
      </c>
      <c r="J12" s="21"/>
      <c r="K12" s="5"/>
      <c r="L12" s="27">
        <v>215.73</v>
      </c>
      <c r="M12" s="5"/>
      <c r="N12" s="5"/>
    </row>
    <row r="13" spans="1:14" x14ac:dyDescent="0.25">
      <c r="A13" s="21"/>
      <c r="B13" s="21"/>
      <c r="C13" s="5" t="s">
        <v>79</v>
      </c>
      <c r="D13" s="5"/>
      <c r="E13" s="21"/>
      <c r="F13" s="27"/>
      <c r="G13" s="4"/>
      <c r="H13" s="4"/>
      <c r="J13" s="21" t="s">
        <v>149</v>
      </c>
      <c r="K13" s="5"/>
      <c r="L13" s="27">
        <v>336</v>
      </c>
      <c r="M13" s="5"/>
      <c r="N13" s="5"/>
    </row>
    <row r="14" spans="1:14" x14ac:dyDescent="0.25">
      <c r="A14" s="21"/>
      <c r="B14" s="21"/>
      <c r="C14" s="5"/>
      <c r="D14" s="5" t="s">
        <v>172</v>
      </c>
      <c r="E14" s="21"/>
      <c r="F14" s="27">
        <v>112500</v>
      </c>
      <c r="G14" s="4"/>
      <c r="H14" s="4"/>
      <c r="J14" s="21" t="s">
        <v>127</v>
      </c>
      <c r="K14" s="5"/>
      <c r="L14" s="27">
        <v>300</v>
      </c>
      <c r="M14" s="5"/>
      <c r="N14" s="5"/>
    </row>
    <row r="15" spans="1:14" x14ac:dyDescent="0.25">
      <c r="A15" s="21"/>
      <c r="B15" s="21"/>
      <c r="C15" s="5"/>
      <c r="D15" s="5" t="s">
        <v>118</v>
      </c>
      <c r="E15" s="21"/>
      <c r="F15" s="27">
        <v>283395.38</v>
      </c>
      <c r="G15" s="4"/>
      <c r="H15" s="4"/>
      <c r="J15" s="21" t="s">
        <v>150</v>
      </c>
      <c r="K15" s="5"/>
      <c r="L15" s="27">
        <v>5913.8</v>
      </c>
      <c r="M15" s="5"/>
      <c r="N15" s="5"/>
    </row>
    <row r="16" spans="1:14" x14ac:dyDescent="0.25">
      <c r="A16" s="21"/>
      <c r="B16" s="21"/>
      <c r="C16" s="5"/>
      <c r="D16" s="5" t="s">
        <v>153</v>
      </c>
      <c r="E16" s="21"/>
      <c r="F16" s="27">
        <v>20000</v>
      </c>
      <c r="G16" s="4"/>
      <c r="H16" s="4"/>
      <c r="J16" s="21" t="s">
        <v>124</v>
      </c>
      <c r="K16" s="5"/>
      <c r="L16" s="27">
        <v>871</v>
      </c>
      <c r="M16" s="5"/>
      <c r="N16" s="5"/>
    </row>
    <row r="17" spans="1:14" x14ac:dyDescent="0.25">
      <c r="A17" s="21"/>
      <c r="B17" s="21"/>
      <c r="C17" s="5"/>
      <c r="D17" s="5"/>
      <c r="E17" s="21" t="s">
        <v>147</v>
      </c>
      <c r="F17" s="27">
        <v>20000</v>
      </c>
      <c r="G17" s="4"/>
      <c r="H17" s="4"/>
      <c r="I17" s="4"/>
      <c r="J17" s="4"/>
      <c r="K17" s="4"/>
      <c r="L17" s="4"/>
      <c r="M17" s="5"/>
      <c r="N17" s="5"/>
    </row>
    <row r="18" spans="1:14" x14ac:dyDescent="0.25">
      <c r="A18" s="21"/>
      <c r="B18" s="21"/>
      <c r="C18" s="5"/>
      <c r="D18" s="5"/>
      <c r="E18" s="21" t="s">
        <v>154</v>
      </c>
      <c r="F18" s="27">
        <v>15000</v>
      </c>
      <c r="G18" s="4"/>
      <c r="H18" s="4"/>
      <c r="I18" s="4"/>
      <c r="J18" s="4"/>
      <c r="K18" s="4"/>
      <c r="L18" s="4"/>
      <c r="M18" s="5"/>
      <c r="N18" s="5"/>
    </row>
    <row r="19" spans="1:14" x14ac:dyDescent="0.25">
      <c r="A19" s="21"/>
      <c r="B19" s="21"/>
      <c r="C19" s="5" t="s">
        <v>142</v>
      </c>
      <c r="D19" s="5"/>
      <c r="F19" s="27">
        <v>1183.6099999999999</v>
      </c>
      <c r="G19" s="4"/>
      <c r="H19" s="21" t="s">
        <v>34</v>
      </c>
      <c r="I19" s="21"/>
      <c r="J19" s="21"/>
      <c r="K19" s="21"/>
      <c r="L19" s="27">
        <f>SUM(F8:F21)+SUM(L8:L16)</f>
        <v>578085.77</v>
      </c>
      <c r="M19" s="5"/>
      <c r="N19" s="5"/>
    </row>
    <row r="20" spans="1:14" x14ac:dyDescent="0.25">
      <c r="A20" s="21"/>
      <c r="B20" s="21"/>
      <c r="C20" s="5" t="s">
        <v>120</v>
      </c>
      <c r="D20" s="5"/>
      <c r="E20" s="4"/>
      <c r="F20" s="27">
        <v>1990</v>
      </c>
      <c r="G20" s="4"/>
      <c r="H20" s="21"/>
      <c r="I20" s="21"/>
      <c r="J20" s="21"/>
      <c r="K20" s="21"/>
      <c r="L20" s="27"/>
      <c r="M20" s="5"/>
      <c r="N20" s="5"/>
    </row>
    <row r="21" spans="1:14" x14ac:dyDescent="0.25">
      <c r="A21" s="21"/>
      <c r="B21" s="21"/>
      <c r="C21" s="21" t="s">
        <v>130</v>
      </c>
      <c r="D21" s="4"/>
      <c r="F21" s="27">
        <v>9022.01</v>
      </c>
      <c r="G21" s="4"/>
      <c r="H21" s="21"/>
      <c r="I21" s="21"/>
      <c r="J21" s="21"/>
      <c r="K21" s="21"/>
      <c r="L21" s="27"/>
      <c r="M21" s="5"/>
      <c r="N21" s="5"/>
    </row>
    <row r="22" spans="1:14" x14ac:dyDescent="0.25">
      <c r="A22" s="21"/>
      <c r="B22" s="21"/>
      <c r="C22" s="21"/>
      <c r="D22" s="4"/>
      <c r="F22" s="27"/>
      <c r="G22" s="4"/>
      <c r="H22" s="21"/>
      <c r="I22" s="21"/>
      <c r="J22" s="21"/>
      <c r="K22" s="21"/>
      <c r="L22" s="27"/>
      <c r="M22" s="5"/>
      <c r="N22" s="5"/>
    </row>
    <row r="23" spans="1:14" x14ac:dyDescent="0.25">
      <c r="A23" s="21"/>
      <c r="B23" s="29"/>
      <c r="C23" s="29"/>
      <c r="D23" s="29"/>
      <c r="E23" s="29"/>
      <c r="F23" s="30"/>
      <c r="G23" s="29"/>
      <c r="H23" s="29"/>
      <c r="I23" s="29"/>
      <c r="J23" s="29"/>
      <c r="K23" s="29"/>
      <c r="L23" s="29"/>
      <c r="M23" s="5"/>
      <c r="N23" s="5"/>
    </row>
    <row r="24" spans="1:14" x14ac:dyDescent="0.25">
      <c r="A24" s="21"/>
      <c r="B24" s="21"/>
      <c r="C24" s="21"/>
      <c r="D24" s="21"/>
      <c r="E24" s="21"/>
      <c r="F24" s="4"/>
      <c r="G24" s="21"/>
      <c r="H24" s="21"/>
      <c r="I24" s="69"/>
      <c r="J24" s="69"/>
      <c r="K24" s="69"/>
      <c r="L24" s="69"/>
      <c r="M24" s="5"/>
      <c r="N24" s="5"/>
    </row>
    <row r="25" spans="1:14" x14ac:dyDescent="0.25">
      <c r="A25" s="21"/>
      <c r="B25" s="26" t="s">
        <v>35</v>
      </c>
      <c r="C25" s="21"/>
      <c r="D25" s="21"/>
      <c r="E25" s="4"/>
      <c r="F25" s="27"/>
      <c r="G25" s="4"/>
      <c r="H25" s="21"/>
      <c r="I25" s="69"/>
      <c r="J25" s="69"/>
      <c r="K25" s="69"/>
      <c r="L25" s="69"/>
      <c r="M25" s="5"/>
      <c r="N25" s="5"/>
    </row>
    <row r="26" spans="1:14" x14ac:dyDescent="0.25">
      <c r="A26" s="21"/>
      <c r="B26" s="26"/>
      <c r="C26" s="4" t="s">
        <v>94</v>
      </c>
      <c r="D26" s="4"/>
      <c r="E26" s="4"/>
      <c r="F26" s="27"/>
      <c r="G26" s="4"/>
      <c r="H26" s="21"/>
      <c r="I26" s="69" t="s">
        <v>99</v>
      </c>
      <c r="J26" s="69"/>
      <c r="K26" s="69"/>
      <c r="L26" s="69">
        <v>306.25</v>
      </c>
      <c r="M26" s="5"/>
      <c r="N26" s="5"/>
    </row>
    <row r="27" spans="1:14" x14ac:dyDescent="0.25">
      <c r="A27" s="21"/>
      <c r="B27" s="26"/>
      <c r="C27" s="4"/>
      <c r="D27" s="4" t="s">
        <v>134</v>
      </c>
      <c r="E27" s="4"/>
      <c r="F27" s="27">
        <f>53+146.72</f>
        <v>199.72</v>
      </c>
      <c r="G27" s="4"/>
      <c r="H27" s="21"/>
      <c r="I27" s="4" t="s">
        <v>121</v>
      </c>
      <c r="J27" s="4"/>
      <c r="K27" s="4"/>
      <c r="L27" s="27">
        <v>21060.32</v>
      </c>
      <c r="M27" s="5"/>
      <c r="N27" s="5"/>
    </row>
    <row r="28" spans="1:14" x14ac:dyDescent="0.25">
      <c r="A28" s="21"/>
      <c r="B28" s="26"/>
      <c r="C28" s="4"/>
      <c r="D28" s="4" t="s">
        <v>151</v>
      </c>
      <c r="E28" s="4"/>
      <c r="F28" s="27">
        <v>3483.89</v>
      </c>
      <c r="G28" s="4"/>
      <c r="H28" s="21"/>
      <c r="I28" s="21" t="s">
        <v>97</v>
      </c>
      <c r="J28" s="21"/>
      <c r="K28" s="21"/>
      <c r="L28" s="31">
        <v>40174.89</v>
      </c>
      <c r="M28" s="5"/>
      <c r="N28" s="5"/>
    </row>
    <row r="29" spans="1:14" x14ac:dyDescent="0.25">
      <c r="A29" s="21"/>
      <c r="B29" s="26"/>
      <c r="C29" s="4" t="s">
        <v>36</v>
      </c>
      <c r="D29" s="4"/>
      <c r="E29" s="4"/>
      <c r="F29" s="27">
        <v>2297.21</v>
      </c>
      <c r="G29" s="4"/>
      <c r="H29" s="21"/>
      <c r="I29" s="4" t="s">
        <v>42</v>
      </c>
      <c r="J29" s="4"/>
      <c r="K29" s="4"/>
      <c r="L29" s="27">
        <v>5626.68</v>
      </c>
      <c r="M29" s="5"/>
      <c r="N29" s="5"/>
    </row>
    <row r="30" spans="1:14" x14ac:dyDescent="0.25">
      <c r="A30" s="21"/>
      <c r="B30" s="26"/>
      <c r="C30" s="4" t="s">
        <v>40</v>
      </c>
      <c r="D30" s="4"/>
      <c r="E30" s="4"/>
      <c r="F30" s="27"/>
      <c r="G30" s="4"/>
      <c r="H30" s="21"/>
      <c r="I30" s="4" t="s">
        <v>43</v>
      </c>
      <c r="J30" s="4"/>
      <c r="K30" s="4"/>
      <c r="L30" s="27">
        <v>7554.44</v>
      </c>
      <c r="M30" s="5"/>
      <c r="N30" s="5"/>
    </row>
    <row r="31" spans="1:14" x14ac:dyDescent="0.25">
      <c r="A31" s="21"/>
      <c r="B31" s="26"/>
      <c r="C31" s="4"/>
      <c r="D31" s="4" t="s">
        <v>41</v>
      </c>
      <c r="E31" s="4"/>
      <c r="F31" s="27">
        <v>2340.9299999999998</v>
      </c>
      <c r="G31" s="4"/>
      <c r="H31" s="21"/>
      <c r="I31" s="4"/>
      <c r="J31" s="4" t="s">
        <v>96</v>
      </c>
      <c r="K31" s="4"/>
      <c r="L31" s="27">
        <v>3011.07</v>
      </c>
      <c r="M31" s="5"/>
      <c r="N31" s="5"/>
    </row>
    <row r="32" spans="1:14" x14ac:dyDescent="0.25">
      <c r="A32" s="21"/>
      <c r="B32" s="26"/>
      <c r="C32" s="4"/>
      <c r="D32" s="4" t="s">
        <v>100</v>
      </c>
      <c r="E32" s="4"/>
      <c r="F32" s="27">
        <v>141.09</v>
      </c>
      <c r="G32" s="4"/>
      <c r="H32" s="21"/>
      <c r="I32" s="4" t="s">
        <v>65</v>
      </c>
      <c r="J32" s="4"/>
      <c r="K32" s="4"/>
      <c r="L32" s="27">
        <v>14069.76</v>
      </c>
      <c r="M32" s="5"/>
      <c r="N32" s="5"/>
    </row>
    <row r="33" spans="1:14" x14ac:dyDescent="0.25">
      <c r="A33" s="21"/>
      <c r="B33" s="26"/>
      <c r="C33" s="4" t="s">
        <v>113</v>
      </c>
      <c r="D33" s="4"/>
      <c r="E33" s="4"/>
      <c r="F33" s="27">
        <v>2362.19</v>
      </c>
      <c r="G33" s="4"/>
      <c r="H33" s="21"/>
      <c r="I33" s="4"/>
      <c r="J33" s="4" t="s">
        <v>185</v>
      </c>
      <c r="K33" s="4"/>
      <c r="L33" s="27">
        <v>6043.7</v>
      </c>
      <c r="M33" s="5"/>
      <c r="N33" s="5"/>
    </row>
    <row r="34" spans="1:14" x14ac:dyDescent="0.25">
      <c r="A34" s="21"/>
      <c r="B34" s="26"/>
      <c r="C34" s="4" t="s">
        <v>105</v>
      </c>
      <c r="D34" s="4"/>
      <c r="E34" s="4"/>
      <c r="F34" s="27"/>
      <c r="G34" s="4"/>
      <c r="H34" s="21"/>
      <c r="I34" s="4" t="s">
        <v>178</v>
      </c>
      <c r="J34" s="4"/>
      <c r="K34" s="4"/>
      <c r="L34" s="27">
        <v>38.03</v>
      </c>
      <c r="M34" s="5"/>
      <c r="N34" s="5"/>
    </row>
    <row r="35" spans="1:14" x14ac:dyDescent="0.25">
      <c r="A35" s="21"/>
      <c r="B35" s="26"/>
      <c r="C35" s="4"/>
      <c r="D35" s="4" t="s">
        <v>110</v>
      </c>
      <c r="E35" s="4"/>
      <c r="F35" s="27">
        <v>2875</v>
      </c>
      <c r="G35" s="4"/>
      <c r="H35" s="21"/>
      <c r="I35" s="4" t="s">
        <v>44</v>
      </c>
      <c r="J35" s="4"/>
      <c r="K35" s="4"/>
      <c r="L35" s="27"/>
      <c r="M35" s="5"/>
      <c r="N35" s="5"/>
    </row>
    <row r="36" spans="1:14" x14ac:dyDescent="0.25">
      <c r="A36" s="21"/>
      <c r="B36" s="26"/>
      <c r="C36" s="4"/>
      <c r="D36" s="4" t="s">
        <v>135</v>
      </c>
      <c r="E36" s="4"/>
      <c r="F36" s="27">
        <v>2498.2600000000002</v>
      </c>
      <c r="G36" s="4"/>
      <c r="H36" s="21"/>
      <c r="I36" s="4"/>
      <c r="J36" s="4" t="s">
        <v>45</v>
      </c>
      <c r="K36" s="4"/>
      <c r="L36" s="14"/>
      <c r="M36" s="5"/>
      <c r="N36" s="5"/>
    </row>
    <row r="37" spans="1:14" x14ac:dyDescent="0.25">
      <c r="A37" s="21"/>
      <c r="B37" s="26"/>
      <c r="C37" s="4"/>
      <c r="D37" s="4" t="s">
        <v>160</v>
      </c>
      <c r="E37" s="4"/>
      <c r="F37" s="27">
        <v>2707.07</v>
      </c>
      <c r="G37" s="4"/>
      <c r="H37" s="21"/>
      <c r="I37" s="4"/>
      <c r="J37" s="4"/>
      <c r="K37" s="4" t="s">
        <v>46</v>
      </c>
      <c r="L37" s="14">
        <v>36730.99</v>
      </c>
      <c r="M37" s="5"/>
      <c r="N37" s="5"/>
    </row>
    <row r="38" spans="1:14" x14ac:dyDescent="0.25">
      <c r="A38" s="21"/>
      <c r="B38" s="26"/>
      <c r="C38" s="4"/>
      <c r="D38" s="4" t="s">
        <v>182</v>
      </c>
      <c r="E38" s="4"/>
      <c r="F38" s="27">
        <v>4183.38</v>
      </c>
      <c r="G38" s="4"/>
      <c r="H38" s="21"/>
      <c r="I38" s="4"/>
      <c r="J38" s="4"/>
      <c r="K38" s="4" t="s">
        <v>122</v>
      </c>
      <c r="L38" s="14">
        <v>2723.61</v>
      </c>
      <c r="M38" s="5"/>
      <c r="N38" s="5"/>
    </row>
    <row r="39" spans="1:14" x14ac:dyDescent="0.25">
      <c r="A39" s="21"/>
      <c r="B39" s="26"/>
      <c r="C39" s="4"/>
      <c r="D39" s="4" t="s">
        <v>107</v>
      </c>
      <c r="E39" s="4"/>
      <c r="F39" s="27">
        <v>70.680000000000007</v>
      </c>
      <c r="G39" s="4"/>
      <c r="H39" s="21"/>
      <c r="I39" s="4"/>
      <c r="J39" s="4"/>
      <c r="K39" s="4" t="s">
        <v>109</v>
      </c>
      <c r="L39" s="14">
        <v>652.38</v>
      </c>
      <c r="M39" s="5"/>
      <c r="N39" s="5"/>
    </row>
    <row r="40" spans="1:14" x14ac:dyDescent="0.25">
      <c r="A40" s="21"/>
      <c r="B40" s="26"/>
      <c r="C40" s="4" t="s">
        <v>158</v>
      </c>
      <c r="D40" s="4"/>
      <c r="E40" s="4"/>
      <c r="F40" s="27">
        <v>107.63</v>
      </c>
      <c r="G40" s="4"/>
      <c r="H40" s="21"/>
      <c r="I40" s="4"/>
      <c r="J40" s="4"/>
      <c r="K40" s="4" t="s">
        <v>66</v>
      </c>
      <c r="L40" s="14">
        <v>5307.99</v>
      </c>
      <c r="N40" s="5"/>
    </row>
    <row r="41" spans="1:14" x14ac:dyDescent="0.25">
      <c r="A41" s="21"/>
      <c r="B41" s="26"/>
      <c r="C41" s="4" t="s">
        <v>63</v>
      </c>
      <c r="D41" s="4"/>
      <c r="E41" s="4"/>
      <c r="F41" s="27">
        <v>1421.03</v>
      </c>
      <c r="G41" s="4"/>
      <c r="H41" s="21"/>
      <c r="I41" s="4"/>
      <c r="J41" s="4" t="s">
        <v>48</v>
      </c>
      <c r="K41" s="4"/>
      <c r="L41" s="28">
        <v>20329.580000000002</v>
      </c>
      <c r="M41" s="49"/>
      <c r="N41" s="5"/>
    </row>
    <row r="42" spans="1:14" x14ac:dyDescent="0.25">
      <c r="A42" s="21"/>
      <c r="B42" s="26"/>
      <c r="C42" s="4" t="s">
        <v>206</v>
      </c>
      <c r="D42" s="4"/>
      <c r="E42" s="4"/>
      <c r="F42" s="27"/>
      <c r="G42" s="4"/>
      <c r="H42" s="21"/>
      <c r="I42" s="4"/>
      <c r="J42" s="4" t="s">
        <v>81</v>
      </c>
      <c r="K42" s="4"/>
      <c r="L42" s="68">
        <f>SUM(L37:L41)</f>
        <v>65744.549999999988</v>
      </c>
      <c r="M42" s="49"/>
      <c r="N42" s="5"/>
    </row>
    <row r="43" spans="1:14" x14ac:dyDescent="0.25">
      <c r="A43" s="21"/>
      <c r="B43" s="26"/>
      <c r="C43" s="4"/>
      <c r="D43" s="4" t="s">
        <v>170</v>
      </c>
      <c r="E43" s="4"/>
      <c r="F43" s="27">
        <v>160</v>
      </c>
      <c r="G43" s="4"/>
      <c r="H43" s="21"/>
      <c r="I43" s="4"/>
      <c r="J43" s="4" t="s">
        <v>152</v>
      </c>
      <c r="K43" s="4"/>
      <c r="L43" s="14">
        <v>2719</v>
      </c>
      <c r="M43" s="49"/>
      <c r="N43" s="5"/>
    </row>
    <row r="44" spans="1:14" x14ac:dyDescent="0.25">
      <c r="A44" s="21"/>
      <c r="B44" s="26"/>
      <c r="C44" s="4" t="s">
        <v>139</v>
      </c>
      <c r="D44" s="4"/>
      <c r="E44" s="4"/>
      <c r="F44" s="27">
        <v>1950.02</v>
      </c>
      <c r="G44" s="4"/>
      <c r="H44" s="21"/>
      <c r="I44" s="4"/>
      <c r="J44" s="4" t="s">
        <v>49</v>
      </c>
      <c r="K44" s="4"/>
      <c r="L44" s="27">
        <v>260927.19</v>
      </c>
      <c r="M44" s="49"/>
      <c r="N44" s="5"/>
    </row>
    <row r="45" spans="1:14" x14ac:dyDescent="0.25">
      <c r="A45" s="21"/>
      <c r="B45" s="26"/>
      <c r="C45" s="4" t="s">
        <v>47</v>
      </c>
      <c r="D45" s="4"/>
      <c r="E45" s="4"/>
      <c r="F45" s="27">
        <v>4958.4799999999996</v>
      </c>
      <c r="G45" s="4"/>
      <c r="H45" s="21"/>
      <c r="I45" s="4"/>
      <c r="J45" s="4"/>
      <c r="K45" s="4"/>
      <c r="L45" s="27"/>
      <c r="M45" s="49"/>
      <c r="N45" s="5"/>
    </row>
    <row r="46" spans="1:14" x14ac:dyDescent="0.25">
      <c r="A46" s="21"/>
      <c r="B46" s="26"/>
      <c r="C46" s="4" t="s">
        <v>176</v>
      </c>
      <c r="D46" s="4"/>
      <c r="E46" s="4"/>
      <c r="F46" s="27">
        <v>564.46</v>
      </c>
      <c r="G46" s="4"/>
      <c r="H46" s="21"/>
      <c r="I46" s="4"/>
      <c r="J46" s="4"/>
      <c r="K46" s="4"/>
      <c r="L46" s="27"/>
      <c r="M46" s="49"/>
      <c r="N46" s="5"/>
    </row>
    <row r="47" spans="1:14" x14ac:dyDescent="0.25">
      <c r="A47" s="21"/>
      <c r="C47" s="4" t="s">
        <v>50</v>
      </c>
      <c r="D47" s="4"/>
      <c r="E47" s="4"/>
      <c r="F47" s="27">
        <v>5156.21</v>
      </c>
      <c r="G47" s="4"/>
      <c r="H47" s="4" t="s">
        <v>51</v>
      </c>
      <c r="I47" s="4"/>
      <c r="J47" s="4"/>
      <c r="K47" s="4"/>
      <c r="L47" s="27">
        <f>+SUM(F26:F64)+SUM(L26:L34)+L42+L44+L43</f>
        <v>520217.06</v>
      </c>
      <c r="M47" s="49"/>
      <c r="N47" s="5"/>
    </row>
    <row r="48" spans="1:14" x14ac:dyDescent="0.25">
      <c r="A48" s="21"/>
      <c r="C48" s="4" t="s">
        <v>164</v>
      </c>
      <c r="D48" s="4"/>
      <c r="E48" s="4"/>
      <c r="F48" s="27">
        <v>3198.29</v>
      </c>
      <c r="G48" s="4"/>
      <c r="H48" s="4"/>
      <c r="I48" s="4"/>
      <c r="J48" s="4"/>
      <c r="K48" s="4"/>
      <c r="L48" s="27"/>
      <c r="M48" s="49"/>
      <c r="N48" s="5"/>
    </row>
    <row r="49" spans="1:14" x14ac:dyDescent="0.25">
      <c r="A49" s="21"/>
      <c r="C49" s="4" t="s">
        <v>52</v>
      </c>
      <c r="D49" s="4"/>
      <c r="E49" s="4"/>
      <c r="F49" s="27">
        <v>1256.9100000000001</v>
      </c>
      <c r="G49" s="4"/>
      <c r="H49" s="4"/>
      <c r="I49" s="4"/>
      <c r="J49" s="4"/>
      <c r="K49" s="4"/>
      <c r="L49" s="27"/>
      <c r="N49" s="5"/>
    </row>
    <row r="50" spans="1:14" x14ac:dyDescent="0.25">
      <c r="A50" s="21"/>
      <c r="B50" s="21"/>
      <c r="C50" s="4" t="s">
        <v>54</v>
      </c>
      <c r="D50" s="4"/>
      <c r="E50" s="4"/>
      <c r="F50" s="27">
        <v>6936.47</v>
      </c>
      <c r="G50" s="4"/>
      <c r="H50" s="4" t="s">
        <v>53</v>
      </c>
      <c r="I50" s="4"/>
      <c r="J50" s="4"/>
      <c r="K50" s="4"/>
      <c r="L50" s="27">
        <f>+L19-L47</f>
        <v>57868.710000000021</v>
      </c>
      <c r="N50" s="5"/>
    </row>
    <row r="51" spans="1:14" x14ac:dyDescent="0.25">
      <c r="A51" s="21"/>
      <c r="B51" s="21"/>
      <c r="C51" s="4" t="s">
        <v>37</v>
      </c>
      <c r="D51" s="4"/>
      <c r="E51" s="4"/>
      <c r="F51" s="27">
        <v>2000</v>
      </c>
      <c r="G51" s="4"/>
      <c r="H51" s="4"/>
      <c r="I51" s="4"/>
      <c r="J51" s="4"/>
      <c r="K51" s="4"/>
      <c r="L51" s="27"/>
      <c r="M51" s="5"/>
      <c r="N51" s="5"/>
    </row>
    <row r="52" spans="1:14" x14ac:dyDescent="0.25">
      <c r="A52" s="21"/>
      <c r="B52" s="21"/>
      <c r="C52" s="4"/>
      <c r="D52" s="4" t="s">
        <v>38</v>
      </c>
      <c r="E52" s="4"/>
      <c r="F52" s="27">
        <v>5300</v>
      </c>
      <c r="G52" s="4"/>
      <c r="H52" s="4"/>
      <c r="I52" s="4"/>
      <c r="J52" s="4"/>
      <c r="K52" s="4"/>
      <c r="L52" s="27"/>
      <c r="M52" s="5"/>
      <c r="N52" s="5"/>
    </row>
    <row r="53" spans="1:14" x14ac:dyDescent="0.25">
      <c r="A53" s="21"/>
      <c r="B53" s="21"/>
      <c r="C53" s="4"/>
      <c r="D53" s="4" t="s">
        <v>183</v>
      </c>
      <c r="E53" s="4"/>
      <c r="F53" s="27">
        <v>1296</v>
      </c>
      <c r="G53" s="4"/>
      <c r="H53" s="4"/>
      <c r="I53" s="4"/>
      <c r="J53" s="4"/>
      <c r="K53" s="4"/>
      <c r="L53" s="27"/>
      <c r="M53" s="5"/>
      <c r="N53" s="5"/>
    </row>
    <row r="54" spans="1:14" x14ac:dyDescent="0.25">
      <c r="A54" s="21"/>
      <c r="B54" s="21"/>
      <c r="C54" s="4"/>
      <c r="D54" s="4" t="s">
        <v>76</v>
      </c>
      <c r="E54" s="4"/>
      <c r="F54" s="27">
        <v>150</v>
      </c>
      <c r="G54" s="4"/>
      <c r="H54" s="4"/>
      <c r="I54" s="4"/>
      <c r="J54" s="4"/>
      <c r="K54" s="4"/>
      <c r="L54" s="27"/>
      <c r="M54" s="5"/>
      <c r="N54" s="5"/>
    </row>
    <row r="55" spans="1:14" x14ac:dyDescent="0.25">
      <c r="A55" s="21"/>
      <c r="B55" s="21"/>
      <c r="C55" s="4"/>
      <c r="D55" s="4" t="s">
        <v>148</v>
      </c>
      <c r="E55" s="4"/>
      <c r="F55" s="27">
        <v>12653.46</v>
      </c>
      <c r="G55" s="4"/>
      <c r="H55" s="4"/>
      <c r="I55" s="4"/>
      <c r="J55" s="4"/>
      <c r="K55" s="4"/>
      <c r="L55" s="27"/>
      <c r="M55" s="5"/>
      <c r="N55" s="5"/>
    </row>
    <row r="56" spans="1:14" x14ac:dyDescent="0.25">
      <c r="A56" s="21"/>
      <c r="B56" s="21"/>
      <c r="C56" s="4"/>
      <c r="D56" s="4" t="s">
        <v>147</v>
      </c>
      <c r="E56" s="4"/>
      <c r="F56" s="27">
        <v>9840</v>
      </c>
      <c r="G56" s="4"/>
      <c r="H56" s="4"/>
      <c r="I56" s="4"/>
      <c r="J56" s="4"/>
      <c r="K56" s="4"/>
      <c r="L56" s="27"/>
      <c r="M56" s="5"/>
      <c r="N56" s="5"/>
    </row>
    <row r="57" spans="1:14" x14ac:dyDescent="0.25">
      <c r="A57" s="21"/>
      <c r="B57" s="21"/>
      <c r="C57" s="4"/>
      <c r="D57" s="4" t="s">
        <v>167</v>
      </c>
      <c r="E57" s="4"/>
      <c r="F57" s="27">
        <v>1500</v>
      </c>
      <c r="G57" s="4"/>
      <c r="H57" s="4"/>
      <c r="I57" s="4"/>
      <c r="J57" s="4"/>
      <c r="K57" s="4"/>
      <c r="L57" s="27"/>
      <c r="M57" s="5"/>
      <c r="N57" s="5"/>
    </row>
    <row r="58" spans="1:14" x14ac:dyDescent="0.25">
      <c r="A58" s="21"/>
      <c r="B58" s="21"/>
      <c r="C58" s="4"/>
      <c r="D58" s="4" t="s">
        <v>177</v>
      </c>
      <c r="E58" s="4"/>
      <c r="F58" s="27">
        <v>2891</v>
      </c>
      <c r="G58" s="4"/>
      <c r="H58" s="4"/>
      <c r="I58" s="4"/>
      <c r="J58" s="4"/>
      <c r="K58" s="4"/>
      <c r="L58" s="27"/>
      <c r="M58" s="5"/>
      <c r="N58" s="5"/>
    </row>
    <row r="59" spans="1:14" x14ac:dyDescent="0.25">
      <c r="A59" s="21"/>
      <c r="B59" s="21"/>
      <c r="C59" s="4"/>
      <c r="D59" s="4" t="s">
        <v>143</v>
      </c>
      <c r="E59" s="4"/>
      <c r="F59" s="27">
        <v>180</v>
      </c>
      <c r="G59" s="4"/>
      <c r="H59" s="4"/>
      <c r="I59" s="4"/>
      <c r="J59" s="4"/>
      <c r="K59" s="4"/>
      <c r="L59" s="27"/>
      <c r="M59" s="5"/>
      <c r="N59" s="5"/>
    </row>
    <row r="60" spans="1:14" x14ac:dyDescent="0.25">
      <c r="A60" s="21"/>
      <c r="B60" s="21"/>
      <c r="C60" s="4"/>
      <c r="D60" s="4" t="s">
        <v>39</v>
      </c>
      <c r="E60" s="4"/>
      <c r="F60" s="27">
        <v>1024.3</v>
      </c>
      <c r="G60" s="4"/>
      <c r="H60" s="4"/>
      <c r="I60" s="4"/>
      <c r="J60" s="4"/>
      <c r="K60" s="4"/>
      <c r="L60" s="27"/>
      <c r="M60" s="5"/>
      <c r="N60" s="5"/>
    </row>
    <row r="61" spans="1:14" x14ac:dyDescent="0.25">
      <c r="A61" s="21"/>
      <c r="B61" s="21"/>
      <c r="D61" s="4" t="s">
        <v>138</v>
      </c>
      <c r="F61" s="27">
        <v>3000</v>
      </c>
      <c r="G61" s="4"/>
      <c r="H61" s="4"/>
      <c r="I61" s="4"/>
      <c r="J61" s="4"/>
      <c r="K61" s="4"/>
      <c r="L61" s="27"/>
      <c r="M61" s="5"/>
      <c r="N61" s="5"/>
    </row>
    <row r="62" spans="1:14" x14ac:dyDescent="0.25">
      <c r="A62" s="21"/>
      <c r="B62" s="21"/>
      <c r="D62" s="4" t="s">
        <v>202</v>
      </c>
      <c r="F62" s="27">
        <v>4237.5</v>
      </c>
      <c r="G62" s="4"/>
      <c r="H62" s="4"/>
      <c r="I62" s="4"/>
      <c r="J62" s="4"/>
      <c r="K62" s="4"/>
      <c r="L62" s="27"/>
      <c r="M62" s="5"/>
      <c r="N62" s="5"/>
    </row>
    <row r="63" spans="1:14" x14ac:dyDescent="0.25">
      <c r="A63" s="21"/>
      <c r="B63" s="21"/>
      <c r="D63" s="4"/>
      <c r="F63" s="27"/>
      <c r="G63" s="4"/>
      <c r="H63" s="4"/>
      <c r="I63" s="4"/>
      <c r="J63" s="4"/>
      <c r="K63" s="4"/>
      <c r="L63" s="27"/>
      <c r="M63" s="5"/>
      <c r="N63" s="5"/>
    </row>
    <row r="64" spans="1:14" x14ac:dyDescent="0.25">
      <c r="A64" s="2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5"/>
      <c r="N64" s="5"/>
    </row>
    <row r="65" spans="1:14" x14ac:dyDescent="0.25">
      <c r="A65" s="21"/>
      <c r="B65" s="21"/>
      <c r="C65" s="21" t="s">
        <v>82</v>
      </c>
      <c r="D65" s="21"/>
      <c r="E65" s="21"/>
      <c r="F65" s="4"/>
      <c r="G65" s="4"/>
      <c r="H65" s="21"/>
      <c r="J65" s="21"/>
      <c r="K65" s="21"/>
      <c r="L65" s="21"/>
      <c r="M65" s="5"/>
      <c r="N65" s="5"/>
    </row>
    <row r="66" spans="1:14" x14ac:dyDescent="0.25">
      <c r="A66" s="21"/>
      <c r="B66" s="21"/>
      <c r="C66" s="21"/>
      <c r="D66" s="21"/>
      <c r="E66" s="21"/>
      <c r="F66" s="4"/>
      <c r="G66" s="4"/>
      <c r="H66" s="21"/>
      <c r="J66" s="21"/>
      <c r="K66" s="21"/>
      <c r="L66" s="21"/>
      <c r="M66" s="5"/>
      <c r="N66" s="5"/>
    </row>
    <row r="67" spans="1:14" x14ac:dyDescent="0.25">
      <c r="A67" s="21"/>
      <c r="B67" s="21"/>
      <c r="C67" s="21" t="s">
        <v>85</v>
      </c>
      <c r="D67" s="21"/>
      <c r="E67" s="21"/>
      <c r="F67" s="4"/>
      <c r="G67" s="4"/>
      <c r="H67" s="21"/>
      <c r="I67" t="s">
        <v>83</v>
      </c>
      <c r="J67" s="21"/>
      <c r="K67" s="21"/>
      <c r="L67" s="21"/>
      <c r="M67" s="5"/>
      <c r="N67" s="5"/>
    </row>
    <row r="68" spans="1:14" x14ac:dyDescent="0.25">
      <c r="A68" s="21"/>
      <c r="B68" s="21"/>
      <c r="C68" s="21"/>
      <c r="D68" t="s">
        <v>181</v>
      </c>
      <c r="E68" s="21"/>
      <c r="F68" s="27"/>
      <c r="G68" s="4"/>
      <c r="H68" s="21"/>
      <c r="I68" s="21"/>
      <c r="J68" s="21" t="s">
        <v>162</v>
      </c>
      <c r="K68" s="21"/>
      <c r="L68" s="21"/>
      <c r="M68" s="5"/>
      <c r="N68" s="5"/>
    </row>
    <row r="69" spans="1:14" x14ac:dyDescent="0.25">
      <c r="A69" s="21"/>
      <c r="B69" s="21"/>
      <c r="C69" s="21"/>
      <c r="E69" s="21"/>
      <c r="F69" s="4"/>
      <c r="G69" s="4"/>
      <c r="H69" s="21"/>
      <c r="I69" s="21"/>
      <c r="J69" s="21" t="s">
        <v>203</v>
      </c>
      <c r="K69" s="21"/>
      <c r="L69" s="21"/>
      <c r="M69" s="5"/>
      <c r="N69" s="5"/>
    </row>
    <row r="70" spans="1:14" x14ac:dyDescent="0.25">
      <c r="A70" s="21"/>
      <c r="B70" s="21"/>
      <c r="C70" s="21"/>
      <c r="D70" s="21"/>
      <c r="F70" s="4"/>
      <c r="G70" s="4"/>
      <c r="H70" s="21"/>
      <c r="I70" s="21"/>
      <c r="J70" s="21"/>
      <c r="K70" s="21" t="s">
        <v>204</v>
      </c>
      <c r="L70" s="21"/>
      <c r="M70" s="5"/>
      <c r="N70" s="5"/>
    </row>
    <row r="71" spans="1:14" x14ac:dyDescent="0.25">
      <c r="A71" s="21"/>
      <c r="B71" s="21"/>
      <c r="C71" s="21"/>
      <c r="D71" s="21"/>
      <c r="E71" s="21"/>
      <c r="F71" s="4"/>
      <c r="G71" s="4"/>
      <c r="H71" s="21"/>
      <c r="I71" s="31"/>
      <c r="J71" s="21"/>
      <c r="K71" s="21"/>
      <c r="L71" s="21"/>
      <c r="M71" s="5"/>
      <c r="N71" s="5"/>
    </row>
    <row r="72" spans="1:14" x14ac:dyDescent="0.25">
      <c r="A72" s="21"/>
      <c r="B72" s="21"/>
      <c r="C72" s="21"/>
      <c r="D72" s="21"/>
      <c r="E72" s="21"/>
      <c r="F72" s="4"/>
      <c r="G72" s="4"/>
      <c r="H72" s="21"/>
      <c r="I72" s="31"/>
      <c r="J72" s="21"/>
      <c r="K72" s="21"/>
      <c r="L72" s="21"/>
      <c r="M72" s="5"/>
      <c r="N72" s="5"/>
    </row>
    <row r="73" spans="1:14" x14ac:dyDescent="0.25">
      <c r="A73" s="21"/>
      <c r="B73" s="21"/>
      <c r="C73" s="21"/>
      <c r="D73" s="21"/>
      <c r="E73" s="21"/>
      <c r="F73" s="4"/>
      <c r="G73" s="4"/>
      <c r="H73" s="21"/>
      <c r="I73" s="31"/>
      <c r="J73" s="21"/>
      <c r="K73" s="21"/>
      <c r="L73" s="21"/>
      <c r="M73" s="5"/>
      <c r="N73" s="5"/>
    </row>
    <row r="74" spans="1:14" x14ac:dyDescent="0.25">
      <c r="A74" s="21"/>
      <c r="B74" s="21"/>
      <c r="C74" s="21"/>
      <c r="D74" s="21"/>
      <c r="E74" s="21"/>
      <c r="F74" s="4"/>
      <c r="G74" s="4"/>
      <c r="H74" s="21"/>
      <c r="I74" s="31"/>
      <c r="J74" s="21"/>
      <c r="K74" s="21"/>
      <c r="L74" s="21"/>
      <c r="M74" s="5"/>
      <c r="N74" s="5"/>
    </row>
    <row r="75" spans="1:14" x14ac:dyDescent="0.25">
      <c r="A75" s="21"/>
      <c r="B75" s="21"/>
      <c r="C75" s="21"/>
      <c r="D75" s="21"/>
      <c r="E75" s="21"/>
      <c r="F75" s="4"/>
      <c r="G75" s="4"/>
      <c r="H75" s="21"/>
      <c r="I75" s="31"/>
      <c r="J75" s="21"/>
      <c r="K75" s="21"/>
      <c r="L75" s="21"/>
      <c r="M75" s="5"/>
      <c r="N75" s="5"/>
    </row>
    <row r="76" spans="1:14" x14ac:dyDescent="0.25">
      <c r="A76" s="21"/>
      <c r="B76" s="21"/>
      <c r="C76" s="21"/>
      <c r="D76" s="21"/>
      <c r="E76" s="21"/>
      <c r="F76" s="4"/>
      <c r="G76" s="4"/>
      <c r="H76" s="21"/>
      <c r="I76" s="31"/>
      <c r="J76" s="21"/>
      <c r="K76" s="21"/>
      <c r="L76" s="21"/>
      <c r="M76" s="5"/>
      <c r="N76" s="5"/>
    </row>
    <row r="77" spans="1:14" x14ac:dyDescent="0.25">
      <c r="A77" s="21"/>
      <c r="B77" s="21"/>
      <c r="C77" s="21"/>
      <c r="D77" s="21"/>
      <c r="E77" s="21"/>
      <c r="F77" s="4"/>
      <c r="G77" s="4"/>
      <c r="H77" s="21"/>
      <c r="I77" s="31"/>
      <c r="J77" s="21"/>
      <c r="K77" s="21"/>
      <c r="L77" s="21"/>
      <c r="M77" s="5"/>
      <c r="N77" s="5"/>
    </row>
    <row r="78" spans="1:14" x14ac:dyDescent="0.25">
      <c r="A78" s="21"/>
      <c r="B78" s="21"/>
      <c r="C78" s="21"/>
      <c r="D78" s="21"/>
      <c r="E78" s="21"/>
      <c r="F78" s="4"/>
      <c r="G78" s="4"/>
      <c r="H78" s="21"/>
      <c r="I78" s="31"/>
      <c r="J78" s="21"/>
      <c r="K78" s="21"/>
      <c r="L78" s="21"/>
      <c r="M78" s="5"/>
      <c r="N78" s="5"/>
    </row>
    <row r="79" spans="1:14" x14ac:dyDescent="0.25">
      <c r="A79" s="21"/>
      <c r="B79" s="21"/>
      <c r="C79" s="21"/>
      <c r="D79" s="21"/>
      <c r="E79" s="21"/>
      <c r="F79" s="27"/>
      <c r="G79" s="4"/>
      <c r="H79" s="21"/>
      <c r="I79" s="21"/>
      <c r="J79" s="21"/>
      <c r="K79" s="21"/>
      <c r="L79" s="21"/>
      <c r="M79" s="5"/>
      <c r="N79" s="5"/>
    </row>
    <row r="80" spans="1:14" x14ac:dyDescent="0.25">
      <c r="A80" s="21"/>
      <c r="B80" s="21"/>
      <c r="G80" s="21"/>
      <c r="H80" s="31"/>
      <c r="I80" s="21"/>
      <c r="J80" s="21"/>
      <c r="K80" s="21"/>
      <c r="M80" s="5"/>
      <c r="N80" s="5"/>
    </row>
    <row r="81" spans="1:14" x14ac:dyDescent="0.25">
      <c r="A81" s="21"/>
      <c r="B81" s="21"/>
      <c r="G81" s="21"/>
      <c r="H81" s="31"/>
      <c r="M81" s="5"/>
      <c r="N81" s="5"/>
    </row>
    <row r="82" spans="1:14" x14ac:dyDescent="0.25">
      <c r="A82" s="21"/>
      <c r="B82" s="21"/>
      <c r="G82" s="21"/>
      <c r="H82" s="21"/>
      <c r="M82" s="5"/>
      <c r="N82" s="5"/>
    </row>
    <row r="83" spans="1:14" x14ac:dyDescent="0.25">
      <c r="A83" s="21"/>
      <c r="B83" s="21"/>
      <c r="G83" s="21"/>
      <c r="H83" s="21"/>
      <c r="M83" s="5"/>
      <c r="N83" s="5"/>
    </row>
    <row r="84" spans="1:14" x14ac:dyDescent="0.25">
      <c r="A84" s="21"/>
      <c r="B84" s="21"/>
      <c r="G84" s="21"/>
      <c r="H84" s="21"/>
      <c r="M84" s="5"/>
      <c r="N84" s="5"/>
    </row>
    <row r="85" spans="1:14" x14ac:dyDescent="0.25">
      <c r="A85" s="21"/>
      <c r="B85" s="21"/>
      <c r="G85" s="21"/>
      <c r="M85" s="5"/>
      <c r="N85" s="5"/>
    </row>
    <row r="86" spans="1:14" x14ac:dyDescent="0.25">
      <c r="A86" s="21"/>
      <c r="B86" s="21"/>
      <c r="G86" s="21"/>
      <c r="M86" s="5"/>
      <c r="N86" s="5"/>
    </row>
    <row r="87" spans="1:14" x14ac:dyDescent="0.25">
      <c r="A87" s="21"/>
      <c r="B87" s="21"/>
      <c r="M87" s="5"/>
      <c r="N87" s="5"/>
    </row>
    <row r="88" spans="1:14" x14ac:dyDescent="0.25">
      <c r="A88" s="21"/>
      <c r="B88" s="21"/>
      <c r="N88" s="5"/>
    </row>
    <row r="89" spans="1:14" x14ac:dyDescent="0.25">
      <c r="A89" s="21"/>
      <c r="B89" s="21"/>
      <c r="N89" s="5"/>
    </row>
    <row r="90" spans="1:14" x14ac:dyDescent="0.25">
      <c r="A90" s="21"/>
      <c r="B90" s="21"/>
      <c r="N90" s="5"/>
    </row>
    <row r="91" spans="1:14" x14ac:dyDescent="0.25">
      <c r="A91" s="21"/>
      <c r="B91" s="21"/>
      <c r="N91" s="5"/>
    </row>
    <row r="92" spans="1:14" x14ac:dyDescent="0.25">
      <c r="A92" s="21"/>
      <c r="B92" s="21"/>
      <c r="N92" s="5"/>
    </row>
    <row r="93" spans="1:14" x14ac:dyDescent="0.25">
      <c r="A93" s="21"/>
      <c r="B93" s="21"/>
      <c r="N93" s="5"/>
    </row>
    <row r="94" spans="1:14" x14ac:dyDescent="0.25">
      <c r="A94" s="21"/>
      <c r="B94" s="21"/>
      <c r="N94" s="5"/>
    </row>
    <row r="95" spans="1:14" x14ac:dyDescent="0.25">
      <c r="A95" s="21"/>
      <c r="B95" s="21"/>
      <c r="N95" s="5"/>
    </row>
    <row r="96" spans="1:14" x14ac:dyDescent="0.25">
      <c r="A96" s="21"/>
      <c r="B96" s="21"/>
      <c r="N96" s="5"/>
    </row>
    <row r="97" spans="1:2" x14ac:dyDescent="0.25">
      <c r="A97" s="21"/>
      <c r="B97" s="21"/>
    </row>
    <row r="98" spans="1:2" x14ac:dyDescent="0.25">
      <c r="A98" s="21"/>
      <c r="B98" s="21"/>
    </row>
    <row r="99" spans="1:2" x14ac:dyDescent="0.25">
      <c r="A99" s="21"/>
      <c r="B99" s="21"/>
    </row>
    <row r="100" spans="1:2" x14ac:dyDescent="0.25">
      <c r="A100" s="21"/>
      <c r="B100" s="21"/>
    </row>
    <row r="101" spans="1:2" x14ac:dyDescent="0.25">
      <c r="A101" s="21"/>
      <c r="B101" s="21"/>
    </row>
    <row r="102" spans="1:2" x14ac:dyDescent="0.25">
      <c r="A102" s="21"/>
      <c r="B102" s="21"/>
    </row>
    <row r="103" spans="1:2" x14ac:dyDescent="0.25">
      <c r="A103" s="21"/>
      <c r="B103" s="21"/>
    </row>
    <row r="104" spans="1:2" x14ac:dyDescent="0.25">
      <c r="A104" s="21"/>
      <c r="B104" s="21"/>
    </row>
    <row r="105" spans="1:2" x14ac:dyDescent="0.25">
      <c r="A105" s="21"/>
      <c r="B105" s="21"/>
    </row>
    <row r="106" spans="1:2" x14ac:dyDescent="0.25">
      <c r="A106" s="21"/>
      <c r="B106" s="21"/>
    </row>
    <row r="107" spans="1:2" x14ac:dyDescent="0.25">
      <c r="A107" s="21"/>
      <c r="B107" s="21"/>
    </row>
    <row r="108" spans="1:2" x14ac:dyDescent="0.25">
      <c r="A108" s="21"/>
      <c r="B108" s="21"/>
    </row>
    <row r="109" spans="1:2" x14ac:dyDescent="0.25">
      <c r="A109" s="21"/>
      <c r="B109" s="21"/>
    </row>
    <row r="110" spans="1:2" x14ac:dyDescent="0.25">
      <c r="A110" s="21"/>
      <c r="B110" s="21"/>
    </row>
    <row r="111" spans="1:2" x14ac:dyDescent="0.25">
      <c r="A111" s="21"/>
      <c r="B111" s="21"/>
    </row>
    <row r="112" spans="1:2" x14ac:dyDescent="0.25">
      <c r="A112" s="21"/>
      <c r="B112" s="21"/>
    </row>
    <row r="113" spans="1:2" x14ac:dyDescent="0.25">
      <c r="A113" s="21"/>
      <c r="B113" s="21"/>
    </row>
    <row r="114" spans="1:2" x14ac:dyDescent="0.25">
      <c r="A114" s="21"/>
      <c r="B114" s="21"/>
    </row>
    <row r="115" spans="1:2" x14ac:dyDescent="0.25">
      <c r="A115" s="21"/>
    </row>
    <row r="116" spans="1:2" x14ac:dyDescent="0.25">
      <c r="A116" s="21"/>
    </row>
    <row r="117" spans="1:2" x14ac:dyDescent="0.25">
      <c r="A117" s="21"/>
    </row>
    <row r="118" spans="1:2" x14ac:dyDescent="0.25">
      <c r="A118" s="21"/>
    </row>
    <row r="119" spans="1:2" x14ac:dyDescent="0.25">
      <c r="A119" s="21"/>
    </row>
    <row r="120" spans="1:2" x14ac:dyDescent="0.25">
      <c r="A120" s="21"/>
    </row>
    <row r="121" spans="1:2" x14ac:dyDescent="0.25">
      <c r="A121" s="21"/>
    </row>
    <row r="122" spans="1:2" x14ac:dyDescent="0.25">
      <c r="A122" s="21"/>
    </row>
    <row r="123" spans="1:2" x14ac:dyDescent="0.25">
      <c r="A123" s="21"/>
    </row>
    <row r="124" spans="1:2" x14ac:dyDescent="0.25">
      <c r="A124" s="21"/>
    </row>
    <row r="125" spans="1:2" x14ac:dyDescent="0.25">
      <c r="A125" s="21"/>
    </row>
    <row r="126" spans="1:2" x14ac:dyDescent="0.25">
      <c r="A126" s="21"/>
    </row>
    <row r="127" spans="1:2" x14ac:dyDescent="0.25">
      <c r="A127" s="21"/>
    </row>
    <row r="128" spans="1:2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</sheetData>
  <sortState xmlns:xlrd2="http://schemas.microsoft.com/office/spreadsheetml/2017/richdata2" ref="C46:C50">
    <sortCondition ref="C46:C50"/>
  </sortState>
  <printOptions horizontalCentered="1"/>
  <pageMargins left="0.25" right="0.25" top="0.75" bottom="0.75" header="0.3" footer="0.3"/>
  <pageSetup scale="87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1"/>
  <sheetViews>
    <sheetView showZeros="0" tabSelected="1" workbookViewId="0">
      <selection activeCell="S2" sqref="S2"/>
    </sheetView>
  </sheetViews>
  <sheetFormatPr defaultRowHeight="13.2" x14ac:dyDescent="0.25"/>
  <cols>
    <col min="1" max="1" width="0.6640625" customWidth="1"/>
    <col min="2" max="3" width="2.6640625" customWidth="1"/>
    <col min="4" max="4" width="26.6640625" customWidth="1"/>
    <col min="5" max="6" width="14.33203125" customWidth="1"/>
    <col min="7" max="7" width="13" bestFit="1" customWidth="1"/>
    <col min="8" max="8" width="10.6640625" bestFit="1" customWidth="1"/>
    <col min="9" max="9" width="2.33203125" customWidth="1"/>
    <col min="10" max="10" width="11.6640625" customWidth="1"/>
    <col min="11" max="11" width="12.6640625" hidden="1" customWidth="1"/>
    <col min="12" max="12" width="13.5546875" hidden="1" customWidth="1"/>
    <col min="13" max="14" width="13.33203125" style="5" customWidth="1"/>
    <col min="15" max="15" width="10.33203125" customWidth="1"/>
    <col min="16" max="16" width="2.88671875" customWidth="1"/>
    <col min="17" max="17" width="10.109375" bestFit="1" customWidth="1"/>
    <col min="18" max="18" width="3.88671875" customWidth="1"/>
    <col min="19" max="19" width="12.44140625" customWidth="1"/>
  </cols>
  <sheetData>
    <row r="1" spans="1:19" ht="15" x14ac:dyDescent="0.25">
      <c r="A1" s="5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" x14ac:dyDescent="0.25">
      <c r="A2" s="5"/>
      <c r="B2" s="1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" x14ac:dyDescent="0.25">
      <c r="A3" s="5"/>
      <c r="B3" s="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ht="15" x14ac:dyDescent="0.25">
      <c r="A4" s="5"/>
      <c r="B4" s="1"/>
      <c r="C4" s="2"/>
      <c r="D4" s="2"/>
      <c r="E4" s="2"/>
      <c r="F4" s="2"/>
      <c r="G4" s="2"/>
      <c r="H4" s="2"/>
      <c r="I4" s="2"/>
      <c r="J4" s="2"/>
      <c r="K4" s="2"/>
      <c r="L4" s="5"/>
    </row>
    <row r="5" spans="1:19" ht="15" x14ac:dyDescent="0.25">
      <c r="A5" s="5"/>
      <c r="B5" s="1"/>
      <c r="C5" s="2"/>
      <c r="D5" s="2"/>
      <c r="E5" s="2"/>
      <c r="F5" s="2"/>
      <c r="G5" s="2"/>
      <c r="H5" s="2"/>
      <c r="I5" s="2"/>
      <c r="J5" s="2"/>
      <c r="K5" s="2" t="s">
        <v>71</v>
      </c>
      <c r="L5" s="5"/>
      <c r="S5" t="s">
        <v>249</v>
      </c>
    </row>
    <row r="6" spans="1:19" x14ac:dyDescent="0.25">
      <c r="A6" s="5"/>
      <c r="B6" s="5"/>
      <c r="C6" s="5"/>
      <c r="D6" s="5"/>
      <c r="E6" s="33" t="s">
        <v>56</v>
      </c>
      <c r="F6" s="33" t="s">
        <v>205</v>
      </c>
      <c r="G6" s="34" t="s">
        <v>57</v>
      </c>
      <c r="H6" s="33"/>
      <c r="I6" s="33"/>
      <c r="J6" s="34" t="s">
        <v>173</v>
      </c>
      <c r="K6" s="57" t="s">
        <v>58</v>
      </c>
      <c r="L6" s="58" t="s">
        <v>68</v>
      </c>
      <c r="M6" s="33" t="s">
        <v>87</v>
      </c>
      <c r="N6" s="33" t="s">
        <v>173</v>
      </c>
      <c r="O6" s="33" t="s">
        <v>165</v>
      </c>
      <c r="Q6" s="33" t="s">
        <v>186</v>
      </c>
      <c r="S6" s="33" t="s">
        <v>209</v>
      </c>
    </row>
    <row r="7" spans="1:19" x14ac:dyDescent="0.25">
      <c r="A7" s="5"/>
      <c r="B7" s="5"/>
      <c r="C7" s="5"/>
      <c r="D7" s="5"/>
      <c r="E7" s="35" t="s">
        <v>201</v>
      </c>
      <c r="F7" s="35" t="s">
        <v>60</v>
      </c>
      <c r="G7" s="36" t="s">
        <v>60</v>
      </c>
      <c r="H7" s="35" t="s">
        <v>86</v>
      </c>
      <c r="I7" s="35"/>
      <c r="J7" s="36" t="s">
        <v>60</v>
      </c>
      <c r="K7" s="57" t="s">
        <v>69</v>
      </c>
      <c r="L7" s="56" t="s">
        <v>70</v>
      </c>
      <c r="M7" s="35" t="s">
        <v>56</v>
      </c>
      <c r="N7" s="35" t="s">
        <v>56</v>
      </c>
      <c r="O7" s="35" t="s">
        <v>166</v>
      </c>
    </row>
    <row r="8" spans="1:19" x14ac:dyDescent="0.25">
      <c r="A8" s="5"/>
      <c r="B8" s="37" t="s">
        <v>31</v>
      </c>
      <c r="C8" s="8"/>
      <c r="D8" s="5"/>
      <c r="E8" s="5"/>
      <c r="F8" s="5"/>
      <c r="G8" s="5"/>
      <c r="H8" s="5"/>
      <c r="I8" s="5"/>
      <c r="J8" s="11"/>
      <c r="K8" s="5"/>
      <c r="L8" s="4"/>
      <c r="M8" s="4"/>
      <c r="N8" s="4"/>
    </row>
    <row r="9" spans="1:19" x14ac:dyDescent="0.25">
      <c r="A9" s="5"/>
      <c r="B9" s="8"/>
      <c r="C9" s="5" t="s">
        <v>33</v>
      </c>
      <c r="D9" s="5"/>
      <c r="E9" s="11">
        <v>34295.129999999997</v>
      </c>
      <c r="F9" s="11">
        <f>(+G9/12)*9</f>
        <v>26250</v>
      </c>
      <c r="G9" s="11">
        <v>35000</v>
      </c>
      <c r="H9" s="11">
        <f>+E9-G9</f>
        <v>-704.87000000000262</v>
      </c>
      <c r="I9" s="11"/>
      <c r="J9" s="11">
        <v>25000</v>
      </c>
      <c r="K9" s="44">
        <f>+E9/J9</f>
        <v>1.3718051999999998</v>
      </c>
      <c r="L9" s="39">
        <f>+K9-K$40</f>
        <v>1.3718051999999998</v>
      </c>
      <c r="M9" s="11">
        <v>36300.11</v>
      </c>
      <c r="N9" s="11">
        <v>45828.66</v>
      </c>
      <c r="O9" s="11">
        <v>1861.76</v>
      </c>
      <c r="Q9" s="49">
        <v>40000</v>
      </c>
      <c r="S9" s="49">
        <v>35000</v>
      </c>
    </row>
    <row r="10" spans="1:19" x14ac:dyDescent="0.25">
      <c r="A10" s="5"/>
      <c r="B10" s="8"/>
      <c r="C10" s="5" t="s">
        <v>171</v>
      </c>
      <c r="D10" s="5"/>
      <c r="E10" s="11">
        <v>1000</v>
      </c>
      <c r="F10" s="11"/>
      <c r="G10" s="11"/>
      <c r="H10" s="11">
        <f>+E10-G10</f>
        <v>1000</v>
      </c>
      <c r="I10" s="11"/>
      <c r="J10" s="11"/>
      <c r="K10" s="44"/>
      <c r="L10" s="39"/>
      <c r="M10" s="11"/>
      <c r="N10" s="11"/>
      <c r="O10" s="11">
        <v>10</v>
      </c>
      <c r="Q10" s="49">
        <f>+E10</f>
        <v>1000</v>
      </c>
      <c r="S10">
        <v>0</v>
      </c>
    </row>
    <row r="11" spans="1:19" x14ac:dyDescent="0.25">
      <c r="A11" s="5"/>
      <c r="B11" s="8"/>
      <c r="C11" s="5" t="s">
        <v>117</v>
      </c>
      <c r="D11" s="5"/>
      <c r="E11" s="11"/>
      <c r="F11" s="11"/>
      <c r="G11" s="11"/>
      <c r="H11" s="11"/>
      <c r="I11" s="11"/>
      <c r="J11" s="11"/>
      <c r="K11" s="44"/>
      <c r="L11" s="39"/>
      <c r="M11" s="11"/>
      <c r="N11" s="11"/>
      <c r="Q11" s="49">
        <f t="shared" ref="Q11:Q21" si="0">+G11</f>
        <v>0</v>
      </c>
    </row>
    <row r="12" spans="1:19" x14ac:dyDescent="0.25">
      <c r="A12" s="5"/>
      <c r="B12" s="5"/>
      <c r="D12" s="5" t="s">
        <v>32</v>
      </c>
      <c r="E12" s="11">
        <v>3252.3</v>
      </c>
      <c r="F12" s="11">
        <f>(+G12/12)*9</f>
        <v>3750</v>
      </c>
      <c r="G12" s="11">
        <v>5000</v>
      </c>
      <c r="H12" s="11">
        <f>-G12+E12</f>
        <v>-1747.6999999999998</v>
      </c>
      <c r="I12" s="11"/>
      <c r="J12" s="11">
        <v>6000</v>
      </c>
      <c r="K12" s="44">
        <f>+E12/J12</f>
        <v>0.54205000000000003</v>
      </c>
      <c r="L12" s="39">
        <f>+K12-K$40</f>
        <v>0.54205000000000003</v>
      </c>
      <c r="M12" s="11">
        <v>2527.9499999999998</v>
      </c>
      <c r="N12" s="11">
        <v>5095.08</v>
      </c>
      <c r="O12" s="11">
        <v>0</v>
      </c>
      <c r="Q12" s="49">
        <f t="shared" si="0"/>
        <v>5000</v>
      </c>
      <c r="S12" s="49">
        <v>5000</v>
      </c>
    </row>
    <row r="13" spans="1:19" x14ac:dyDescent="0.25">
      <c r="A13" s="5"/>
      <c r="B13" s="5"/>
      <c r="C13" s="5" t="s">
        <v>92</v>
      </c>
      <c r="D13" s="5"/>
      <c r="E13" s="49"/>
      <c r="F13" s="49"/>
      <c r="G13" s="11"/>
      <c r="H13" s="11">
        <f t="shared" ref="H13:H28" si="1">+E13-G13</f>
        <v>0</v>
      </c>
      <c r="I13" s="11"/>
      <c r="J13" s="11"/>
      <c r="K13" s="44"/>
      <c r="L13" s="39"/>
      <c r="M13" s="11"/>
      <c r="N13" s="11"/>
      <c r="Q13" s="49">
        <f t="shared" si="0"/>
        <v>0</v>
      </c>
    </row>
    <row r="14" spans="1:19" x14ac:dyDescent="0.25">
      <c r="A14" s="5"/>
      <c r="B14" s="5"/>
      <c r="C14" s="5"/>
      <c r="D14" s="5" t="s">
        <v>164</v>
      </c>
      <c r="E14" s="49">
        <v>26231.17</v>
      </c>
      <c r="F14" s="11">
        <f>(+G14/12)*9</f>
        <v>50550</v>
      </c>
      <c r="G14" s="11">
        <v>67400</v>
      </c>
      <c r="H14" s="11">
        <f t="shared" si="1"/>
        <v>-41168.83</v>
      </c>
      <c r="I14" s="11"/>
      <c r="J14" s="11"/>
      <c r="K14" s="44"/>
      <c r="L14" s="39"/>
      <c r="M14" s="11">
        <v>15596.94</v>
      </c>
      <c r="N14" s="11">
        <v>61981.45</v>
      </c>
      <c r="O14" s="11">
        <v>2670</v>
      </c>
      <c r="Q14" s="49">
        <v>55000</v>
      </c>
      <c r="R14" s="49"/>
      <c r="S14" s="49">
        <v>65000</v>
      </c>
    </row>
    <row r="15" spans="1:19" x14ac:dyDescent="0.25">
      <c r="A15" s="5"/>
      <c r="B15" s="5"/>
      <c r="C15" s="5"/>
      <c r="D15" s="5" t="s">
        <v>103</v>
      </c>
      <c r="E15" s="11"/>
      <c r="F15" s="11">
        <f>(+G15/12)*9</f>
        <v>47838</v>
      </c>
      <c r="G15" s="11">
        <v>63784</v>
      </c>
      <c r="H15" s="11">
        <f t="shared" si="1"/>
        <v>-63784</v>
      </c>
      <c r="I15" s="11"/>
      <c r="J15" s="11">
        <v>66000</v>
      </c>
      <c r="K15" s="44">
        <f>+E15/J15</f>
        <v>0</v>
      </c>
      <c r="L15" s="39"/>
      <c r="M15" s="11">
        <v>7700</v>
      </c>
      <c r="N15" s="11">
        <v>59230.31</v>
      </c>
      <c r="O15" s="11">
        <v>0</v>
      </c>
      <c r="Q15" s="49"/>
      <c r="R15" s="49"/>
      <c r="S15" s="49">
        <v>60000</v>
      </c>
    </row>
    <row r="16" spans="1:19" x14ac:dyDescent="0.25">
      <c r="A16" s="5"/>
      <c r="B16" s="5"/>
      <c r="C16" s="5" t="s">
        <v>136</v>
      </c>
      <c r="D16" s="5"/>
      <c r="E16" s="11"/>
      <c r="F16" s="11"/>
      <c r="G16" s="11">
        <v>0</v>
      </c>
      <c r="H16" s="11">
        <f t="shared" si="1"/>
        <v>0</v>
      </c>
      <c r="I16" s="11"/>
      <c r="J16" s="11">
        <v>2200</v>
      </c>
      <c r="K16" s="44"/>
      <c r="L16" s="39"/>
      <c r="M16" s="11">
        <v>-607</v>
      </c>
      <c r="N16" s="11">
        <v>2246.64</v>
      </c>
      <c r="Q16" s="49">
        <v>0</v>
      </c>
    </row>
    <row r="17" spans="1:20" x14ac:dyDescent="0.25">
      <c r="A17" s="5"/>
      <c r="B17" s="5"/>
      <c r="C17" s="5" t="s">
        <v>79</v>
      </c>
      <c r="D17" s="5"/>
      <c r="E17" s="11"/>
      <c r="F17" s="11"/>
      <c r="G17" s="11"/>
      <c r="H17" s="11">
        <f t="shared" si="1"/>
        <v>0</v>
      </c>
      <c r="I17" s="11"/>
      <c r="J17" s="11"/>
      <c r="K17" s="44"/>
      <c r="L17" s="39"/>
      <c r="M17" s="11"/>
      <c r="N17" s="11"/>
      <c r="Q17" s="49">
        <f t="shared" si="0"/>
        <v>0</v>
      </c>
    </row>
    <row r="18" spans="1:20" x14ac:dyDescent="0.25">
      <c r="A18" s="5"/>
      <c r="B18" s="5"/>
      <c r="C18" s="5"/>
      <c r="D18" s="5" t="s">
        <v>210</v>
      </c>
      <c r="E18" s="11">
        <v>112500</v>
      </c>
      <c r="F18" s="11">
        <f>(+G18/12)*9</f>
        <v>112500</v>
      </c>
      <c r="G18" s="11">
        <v>150000</v>
      </c>
      <c r="H18" s="11">
        <f t="shared" si="1"/>
        <v>-37500</v>
      </c>
      <c r="I18" s="11"/>
      <c r="J18" s="11">
        <v>69890</v>
      </c>
      <c r="K18" s="44"/>
      <c r="L18" s="39"/>
      <c r="M18" s="11">
        <v>45309.33</v>
      </c>
      <c r="N18" s="11">
        <v>66160.95</v>
      </c>
      <c r="O18" s="11">
        <v>12500</v>
      </c>
      <c r="Q18" s="49">
        <f t="shared" si="0"/>
        <v>150000</v>
      </c>
    </row>
    <row r="19" spans="1:20" x14ac:dyDescent="0.25">
      <c r="A19" s="5"/>
      <c r="B19" s="5"/>
      <c r="C19" s="5"/>
      <c r="D19" s="5" t="s">
        <v>211</v>
      </c>
      <c r="E19" s="11"/>
      <c r="F19" s="11"/>
      <c r="G19" s="11"/>
      <c r="H19" s="11"/>
      <c r="I19" s="11"/>
      <c r="J19" s="11"/>
      <c r="K19" s="44"/>
      <c r="L19" s="39"/>
      <c r="M19" s="11"/>
      <c r="N19" s="11"/>
      <c r="O19" s="11"/>
      <c r="Q19" s="49"/>
      <c r="S19" s="49">
        <v>10000</v>
      </c>
      <c r="T19" t="s">
        <v>212</v>
      </c>
    </row>
    <row r="20" spans="1:20" x14ac:dyDescent="0.25">
      <c r="A20" s="5"/>
      <c r="B20" s="5"/>
      <c r="C20" s="5"/>
      <c r="D20" s="5" t="s">
        <v>188</v>
      </c>
      <c r="E20" s="11"/>
      <c r="F20" s="11"/>
      <c r="G20" s="11"/>
      <c r="H20" s="11"/>
      <c r="I20" s="11"/>
      <c r="J20" s="11"/>
      <c r="K20" s="44"/>
      <c r="L20" s="39"/>
      <c r="M20" s="11"/>
      <c r="N20" s="11"/>
      <c r="Q20" s="49">
        <v>69790</v>
      </c>
      <c r="S20" s="74">
        <v>290488</v>
      </c>
      <c r="T20" t="s">
        <v>237</v>
      </c>
    </row>
    <row r="21" spans="1:20" x14ac:dyDescent="0.25">
      <c r="A21" s="5"/>
      <c r="B21" s="5"/>
      <c r="C21" s="5"/>
      <c r="D21" s="5" t="s">
        <v>118</v>
      </c>
      <c r="E21" s="11">
        <v>283395.38</v>
      </c>
      <c r="F21" s="11">
        <f>(+G21/12)*9</f>
        <v>308250</v>
      </c>
      <c r="G21" s="11">
        <v>411000</v>
      </c>
      <c r="H21" s="11">
        <f t="shared" si="1"/>
        <v>-127604.62</v>
      </c>
      <c r="I21" s="11"/>
      <c r="J21" s="11">
        <v>411110</v>
      </c>
      <c r="K21" s="44">
        <f t="shared" ref="K21:K26" si="2">+E21/J21</f>
        <v>0.68934197659993679</v>
      </c>
      <c r="L21" s="39">
        <f>+K21-K$40</f>
        <v>0.68934197659993679</v>
      </c>
      <c r="M21" s="11">
        <v>310851.02</v>
      </c>
      <c r="N21" s="11">
        <v>411110</v>
      </c>
      <c r="O21" s="11">
        <v>19916.59</v>
      </c>
      <c r="Q21" s="49">
        <f t="shared" si="0"/>
        <v>411000</v>
      </c>
      <c r="S21" s="49">
        <v>411000</v>
      </c>
    </row>
    <row r="22" spans="1:20" x14ac:dyDescent="0.25">
      <c r="A22" s="5"/>
      <c r="B22" s="5"/>
      <c r="C22" s="5"/>
      <c r="D22" s="5" t="s">
        <v>104</v>
      </c>
      <c r="E22" s="11">
        <v>20000</v>
      </c>
      <c r="F22" s="11">
        <f>(+G22/12)*9</f>
        <v>9375</v>
      </c>
      <c r="G22" s="11">
        <v>12500</v>
      </c>
      <c r="H22" s="11">
        <f t="shared" si="1"/>
        <v>7500</v>
      </c>
      <c r="I22" s="11"/>
      <c r="J22" s="11">
        <v>7500</v>
      </c>
      <c r="K22" s="44"/>
      <c r="L22" s="39"/>
      <c r="M22" s="11">
        <v>10000</v>
      </c>
      <c r="N22" s="11">
        <v>11000</v>
      </c>
      <c r="O22" s="11">
        <v>0</v>
      </c>
      <c r="Q22" s="49">
        <v>20000</v>
      </c>
      <c r="S22" s="49">
        <v>10000</v>
      </c>
    </row>
    <row r="23" spans="1:20" x14ac:dyDescent="0.25">
      <c r="A23" s="5"/>
      <c r="B23" s="5"/>
      <c r="C23" s="5"/>
      <c r="D23" s="5" t="s">
        <v>187</v>
      </c>
      <c r="E23" s="11">
        <v>20000</v>
      </c>
      <c r="F23" s="11"/>
      <c r="G23" s="11">
        <v>0</v>
      </c>
      <c r="H23" s="11">
        <f>+E23-G23</f>
        <v>20000</v>
      </c>
      <c r="I23" s="11"/>
      <c r="J23" s="11">
        <v>3000</v>
      </c>
      <c r="K23" s="44"/>
      <c r="L23" s="39"/>
      <c r="M23" s="11"/>
      <c r="N23" s="11"/>
      <c r="Q23" s="49">
        <f>+E23</f>
        <v>20000</v>
      </c>
      <c r="S23" s="49">
        <v>10000</v>
      </c>
    </row>
    <row r="24" spans="1:20" x14ac:dyDescent="0.25">
      <c r="A24" s="5"/>
      <c r="B24" s="5"/>
      <c r="C24" s="5"/>
      <c r="D24" s="5" t="s">
        <v>119</v>
      </c>
      <c r="E24" s="11">
        <v>15000</v>
      </c>
      <c r="F24" s="11">
        <f>(+G24/12)*9</f>
        <v>16875</v>
      </c>
      <c r="G24" s="11">
        <v>22500</v>
      </c>
      <c r="H24" s="11">
        <f t="shared" si="1"/>
        <v>-7500</v>
      </c>
      <c r="I24" s="11"/>
      <c r="J24" s="11">
        <v>20000</v>
      </c>
      <c r="K24" s="44"/>
      <c r="L24" s="39"/>
      <c r="M24" s="11">
        <v>14999.91</v>
      </c>
      <c r="N24" s="11">
        <v>20000</v>
      </c>
      <c r="O24" s="11">
        <v>2500</v>
      </c>
      <c r="Q24" s="49">
        <v>20000</v>
      </c>
      <c r="R24" s="49"/>
      <c r="S24" s="49">
        <v>30000</v>
      </c>
    </row>
    <row r="25" spans="1:20" x14ac:dyDescent="0.25">
      <c r="A25" s="5"/>
      <c r="B25" s="5"/>
      <c r="C25" s="5" t="s">
        <v>145</v>
      </c>
      <c r="D25" s="5"/>
      <c r="E25" s="11">
        <v>1183.6099999999999</v>
      </c>
      <c r="F25" s="11"/>
      <c r="G25" s="11"/>
      <c r="H25" s="11">
        <f t="shared" si="1"/>
        <v>1183.6099999999999</v>
      </c>
      <c r="I25" s="11"/>
      <c r="J25" s="11"/>
      <c r="K25" s="44"/>
      <c r="L25" s="39"/>
      <c r="M25" s="11">
        <v>160.30000000000001</v>
      </c>
      <c r="N25" s="11">
        <v>251.04</v>
      </c>
      <c r="O25" s="11">
        <v>94.57</v>
      </c>
      <c r="Q25" s="11">
        <v>1500</v>
      </c>
      <c r="S25" s="49">
        <v>1500</v>
      </c>
    </row>
    <row r="26" spans="1:20" x14ac:dyDescent="0.25">
      <c r="A26" s="5"/>
      <c r="B26" s="5"/>
      <c r="C26" s="5" t="s">
        <v>120</v>
      </c>
      <c r="D26" s="5"/>
      <c r="E26" s="11">
        <v>1990</v>
      </c>
      <c r="F26" s="11">
        <f>(+G26/12)*9</f>
        <v>2475</v>
      </c>
      <c r="G26" s="11">
        <v>3300</v>
      </c>
      <c r="H26" s="11">
        <f t="shared" si="1"/>
        <v>-1310</v>
      </c>
      <c r="I26" s="11"/>
      <c r="J26" s="11">
        <v>3000</v>
      </c>
      <c r="K26" s="44">
        <f t="shared" si="2"/>
        <v>0.66333333333333333</v>
      </c>
      <c r="L26" s="39">
        <f>+K26-K$40</f>
        <v>0.66333333333333333</v>
      </c>
      <c r="M26" s="11">
        <v>3166</v>
      </c>
      <c r="N26" s="11">
        <v>3123</v>
      </c>
      <c r="O26" s="11">
        <v>0</v>
      </c>
      <c r="Q26" s="49">
        <v>3000</v>
      </c>
      <c r="S26" s="49">
        <v>2500</v>
      </c>
    </row>
    <row r="27" spans="1:20" x14ac:dyDescent="0.25">
      <c r="A27" s="5"/>
      <c r="B27" s="5"/>
      <c r="C27" s="5" t="s">
        <v>130</v>
      </c>
      <c r="D27" s="5"/>
      <c r="E27" s="11">
        <v>9022.01</v>
      </c>
      <c r="F27" s="11"/>
      <c r="G27" s="11">
        <v>0</v>
      </c>
      <c r="H27" s="11">
        <f t="shared" si="1"/>
        <v>9022.01</v>
      </c>
      <c r="I27" s="11"/>
      <c r="J27" s="11">
        <v>0</v>
      </c>
      <c r="K27" s="44"/>
      <c r="L27" s="39"/>
      <c r="M27" s="11">
        <v>515.37</v>
      </c>
      <c r="N27" s="11">
        <v>740.37</v>
      </c>
      <c r="O27" s="11">
        <v>1224</v>
      </c>
      <c r="Q27" s="49">
        <v>9022</v>
      </c>
      <c r="S27" s="49">
        <v>0</v>
      </c>
    </row>
    <row r="28" spans="1:20" x14ac:dyDescent="0.25">
      <c r="A28" s="5"/>
      <c r="B28" s="5"/>
      <c r="C28" s="21" t="s">
        <v>114</v>
      </c>
      <c r="D28" s="5"/>
      <c r="E28" s="11">
        <v>41479.64</v>
      </c>
      <c r="F28" s="11">
        <f>(+G28/12)*9</f>
        <v>37500</v>
      </c>
      <c r="G28" s="11">
        <v>50000</v>
      </c>
      <c r="H28" s="11">
        <f t="shared" si="1"/>
        <v>-8520.36</v>
      </c>
      <c r="I28" s="11"/>
      <c r="J28" s="11">
        <v>44000</v>
      </c>
      <c r="K28" s="44"/>
      <c r="L28" s="39"/>
      <c r="M28" s="11">
        <v>48114.79</v>
      </c>
      <c r="N28" s="11">
        <v>48114.79</v>
      </c>
      <c r="O28" s="11">
        <v>0</v>
      </c>
      <c r="Q28" s="49">
        <v>41480</v>
      </c>
      <c r="S28" s="49">
        <v>35000</v>
      </c>
    </row>
    <row r="29" spans="1:20" x14ac:dyDescent="0.25">
      <c r="A29" s="5"/>
      <c r="B29" s="5"/>
      <c r="C29" s="4" t="s">
        <v>137</v>
      </c>
      <c r="D29" s="50"/>
      <c r="E29" s="11">
        <v>1100</v>
      </c>
      <c r="F29" s="11">
        <f>(+G29/12)*9</f>
        <v>825</v>
      </c>
      <c r="G29" s="11">
        <v>1100</v>
      </c>
      <c r="H29" s="11">
        <f>+E29-G29</f>
        <v>0</v>
      </c>
      <c r="I29" s="11"/>
      <c r="J29" s="11">
        <v>1000</v>
      </c>
      <c r="K29" s="44"/>
      <c r="L29" s="39"/>
      <c r="M29" s="11">
        <v>800</v>
      </c>
      <c r="N29" s="11">
        <v>800</v>
      </c>
      <c r="O29" s="11">
        <v>0</v>
      </c>
      <c r="Q29" s="49">
        <f>+E29</f>
        <v>1100</v>
      </c>
      <c r="S29" s="49">
        <v>1100</v>
      </c>
    </row>
    <row r="30" spans="1:20" x14ac:dyDescent="0.25">
      <c r="A30" s="5"/>
      <c r="B30" s="5"/>
      <c r="C30" s="45" t="s">
        <v>88</v>
      </c>
      <c r="D30" s="50"/>
      <c r="E30" s="11">
        <v>215.73</v>
      </c>
      <c r="F30" s="11"/>
      <c r="G30" s="11">
        <f>+J30/2</f>
        <v>0</v>
      </c>
      <c r="H30" s="11">
        <f t="shared" ref="H30" si="3">-G30+E30</f>
        <v>215.73</v>
      </c>
      <c r="I30" s="11"/>
      <c r="J30" s="11"/>
      <c r="K30" s="44"/>
      <c r="L30" s="39"/>
      <c r="M30" s="11">
        <v>25</v>
      </c>
      <c r="N30" s="11">
        <v>1450</v>
      </c>
      <c r="Q30" s="49">
        <v>216</v>
      </c>
      <c r="S30" s="49">
        <v>0</v>
      </c>
    </row>
    <row r="31" spans="1:20" x14ac:dyDescent="0.25">
      <c r="A31" s="5"/>
      <c r="B31" s="5"/>
      <c r="C31" s="45"/>
      <c r="D31" s="21" t="s">
        <v>108</v>
      </c>
      <c r="E31" s="11">
        <v>336</v>
      </c>
      <c r="F31" s="11">
        <f>(+G31/12)*9</f>
        <v>750</v>
      </c>
      <c r="G31" s="11">
        <v>1000</v>
      </c>
      <c r="H31" s="11">
        <f>+E31-G31</f>
        <v>-664</v>
      </c>
      <c r="I31" s="11"/>
      <c r="J31" s="11">
        <v>2250</v>
      </c>
      <c r="K31" s="44"/>
      <c r="L31" s="39"/>
      <c r="M31" s="11">
        <v>838.25</v>
      </c>
      <c r="N31" s="11">
        <v>1006.25</v>
      </c>
      <c r="O31" s="11">
        <v>0</v>
      </c>
      <c r="Q31" s="11">
        <v>500</v>
      </c>
      <c r="S31" s="49">
        <v>500</v>
      </c>
    </row>
    <row r="32" spans="1:20" x14ac:dyDescent="0.25">
      <c r="A32" s="5"/>
      <c r="B32" s="5"/>
      <c r="C32" s="45"/>
      <c r="D32" s="21" t="s">
        <v>127</v>
      </c>
      <c r="E32" s="11">
        <v>300</v>
      </c>
      <c r="F32" s="11"/>
      <c r="G32" s="11"/>
      <c r="H32" s="11">
        <f>+E32-G32</f>
        <v>300</v>
      </c>
      <c r="I32" s="11"/>
      <c r="J32" s="11"/>
      <c r="K32" s="44"/>
      <c r="L32" s="39"/>
      <c r="M32" s="11">
        <v>650</v>
      </c>
      <c r="N32" s="11">
        <v>650</v>
      </c>
      <c r="O32" s="11">
        <v>0</v>
      </c>
      <c r="Q32" s="11">
        <v>500</v>
      </c>
      <c r="S32" s="49">
        <v>300</v>
      </c>
    </row>
    <row r="33" spans="1:19" x14ac:dyDescent="0.25">
      <c r="A33" s="5"/>
      <c r="B33" s="5"/>
      <c r="D33" s="21" t="s">
        <v>93</v>
      </c>
      <c r="E33" s="11">
        <v>5913.8</v>
      </c>
      <c r="F33" s="11">
        <f>(+G33/12)*9</f>
        <v>6750</v>
      </c>
      <c r="G33" s="11">
        <v>9000</v>
      </c>
      <c r="H33" s="11">
        <f>+E33-G33</f>
        <v>-3086.2</v>
      </c>
      <c r="J33" s="11">
        <v>27500</v>
      </c>
      <c r="M33" s="11">
        <v>16704.71</v>
      </c>
      <c r="N33" s="11">
        <v>24704.71</v>
      </c>
      <c r="O33" s="11">
        <v>3913.8</v>
      </c>
      <c r="Q33" s="11">
        <v>8000</v>
      </c>
      <c r="S33" s="49">
        <v>5000</v>
      </c>
    </row>
    <row r="34" spans="1:19" x14ac:dyDescent="0.25">
      <c r="A34" s="5"/>
      <c r="B34" s="5"/>
      <c r="D34" s="21" t="s">
        <v>124</v>
      </c>
      <c r="E34" s="49">
        <v>871</v>
      </c>
      <c r="F34" s="11">
        <f>(+G34/12)*9</f>
        <v>150</v>
      </c>
      <c r="G34" s="11">
        <v>200</v>
      </c>
      <c r="H34" s="11">
        <f>+E34-G34</f>
        <v>671</v>
      </c>
      <c r="J34" s="11">
        <v>500</v>
      </c>
      <c r="M34" s="11">
        <v>144</v>
      </c>
      <c r="N34" s="11">
        <v>144</v>
      </c>
      <c r="O34" s="11">
        <v>0</v>
      </c>
      <c r="Q34" s="49">
        <f>+E34</f>
        <v>871</v>
      </c>
      <c r="S34" s="49">
        <v>500</v>
      </c>
    </row>
    <row r="35" spans="1:19" x14ac:dyDescent="0.25">
      <c r="A35" s="5"/>
      <c r="B35" s="5"/>
    </row>
    <row r="36" spans="1:1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39"/>
    </row>
    <row r="37" spans="1:19" ht="13.8" thickBot="1" x14ac:dyDescent="0.3">
      <c r="A37" s="5"/>
      <c r="B37" s="4" t="s">
        <v>34</v>
      </c>
      <c r="C37" s="8"/>
      <c r="D37" s="5"/>
      <c r="E37" s="46">
        <f>SUM(E9:E34)</f>
        <v>578085.77</v>
      </c>
      <c r="F37" s="46">
        <f>SUM(F9:F34)</f>
        <v>623838</v>
      </c>
      <c r="G37" s="46">
        <f>SUM(G9:G34)</f>
        <v>831784</v>
      </c>
      <c r="H37" s="46">
        <f>SUM(H9:H34)</f>
        <v>-253698.23</v>
      </c>
      <c r="I37" s="46"/>
      <c r="J37" s="46">
        <f>SUM(J9:J34)</f>
        <v>688950</v>
      </c>
      <c r="K37" s="41">
        <f>+E37/J37</f>
        <v>0.83908232818056461</v>
      </c>
      <c r="L37" s="55" t="e">
        <f>-K37+#REF!</f>
        <v>#REF!</v>
      </c>
      <c r="M37" s="46">
        <f>SUM(M9:M34)</f>
        <v>513796.68</v>
      </c>
      <c r="N37" s="46">
        <f>SUM(N9:N34)</f>
        <v>763637.25000000012</v>
      </c>
      <c r="O37" s="46">
        <f>SUM(O9:O36)</f>
        <v>44690.720000000008</v>
      </c>
      <c r="Q37" s="46">
        <f>SUM(Q9:Q34)</f>
        <v>857979</v>
      </c>
      <c r="S37" s="46">
        <f>SUM(S9:S34)</f>
        <v>972888</v>
      </c>
    </row>
    <row r="38" spans="1:19" ht="13.8" thickTop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9"/>
    </row>
    <row r="39" spans="1:1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4" t="s">
        <v>84</v>
      </c>
      <c r="L39" s="39"/>
    </row>
    <row r="40" spans="1:19" x14ac:dyDescent="0.25">
      <c r="A40" s="5"/>
      <c r="B40" s="5"/>
      <c r="C40" s="5"/>
      <c r="D40" s="21" t="s">
        <v>82</v>
      </c>
      <c r="E40" s="21"/>
      <c r="F40" s="21"/>
      <c r="G40" s="4"/>
      <c r="H40" s="47"/>
      <c r="I40" s="47"/>
      <c r="J40" s="5"/>
      <c r="K40" s="48"/>
      <c r="L40" s="39"/>
    </row>
    <row r="41" spans="1:19" x14ac:dyDescent="0.25">
      <c r="A41" s="5"/>
      <c r="B41" s="5"/>
      <c r="C41" s="5"/>
      <c r="D41" s="21"/>
      <c r="E41" s="21"/>
      <c r="F41" s="21"/>
      <c r="G41" s="4"/>
      <c r="H41" s="5"/>
      <c r="I41" s="5"/>
      <c r="J41" s="5"/>
      <c r="K41" s="5"/>
      <c r="L41" s="39"/>
    </row>
    <row r="42" spans="1:19" x14ac:dyDescent="0.25">
      <c r="A42" s="5"/>
      <c r="B42" s="4"/>
      <c r="C42" s="4"/>
      <c r="D42" t="s">
        <v>207</v>
      </c>
      <c r="F42" s="21"/>
      <c r="G42" s="27"/>
      <c r="H42" s="5"/>
      <c r="I42" s="5"/>
      <c r="J42" s="11"/>
      <c r="K42" s="5"/>
      <c r="L42" s="39"/>
    </row>
    <row r="43" spans="1:19" x14ac:dyDescent="0.25">
      <c r="A43" s="5"/>
      <c r="B43" s="5"/>
      <c r="C43" s="5"/>
      <c r="D43" s="21"/>
      <c r="F43" s="21"/>
      <c r="G43" s="4"/>
      <c r="H43" s="5"/>
      <c r="I43" s="5"/>
      <c r="J43" s="5"/>
      <c r="K43" s="5"/>
      <c r="L43" s="39"/>
    </row>
    <row r="44" spans="1:19" x14ac:dyDescent="0.25">
      <c r="A44" s="5"/>
      <c r="B44" s="5"/>
      <c r="C44" s="4"/>
      <c r="D44" s="5"/>
      <c r="E44" s="5"/>
      <c r="F44" s="5"/>
      <c r="G44" s="5"/>
      <c r="H44" s="5"/>
      <c r="I44" s="5"/>
      <c r="J44" s="5"/>
      <c r="K44" s="5"/>
      <c r="L44" s="39"/>
    </row>
    <row r="45" spans="1:19" x14ac:dyDescent="0.25">
      <c r="A45" s="5"/>
      <c r="B45" s="5"/>
      <c r="C45" s="4"/>
      <c r="D45" s="5"/>
      <c r="E45" s="5"/>
      <c r="F45" s="5"/>
      <c r="G45" s="5"/>
      <c r="H45" s="5"/>
      <c r="I45" s="5"/>
      <c r="J45" s="5"/>
      <c r="K45" s="5"/>
      <c r="L45" s="39"/>
    </row>
    <row r="46" spans="1:19" x14ac:dyDescent="0.25">
      <c r="A46" s="5"/>
      <c r="B46" s="5"/>
      <c r="C46" s="4"/>
      <c r="D46" s="5"/>
      <c r="E46" s="5"/>
      <c r="F46" s="5"/>
      <c r="G46" s="5"/>
      <c r="H46" s="5"/>
      <c r="I46" s="5"/>
      <c r="J46" s="5"/>
      <c r="K46" s="5"/>
      <c r="L46" s="39"/>
    </row>
    <row r="47" spans="1:19" x14ac:dyDescent="0.25">
      <c r="A47" s="5"/>
      <c r="B47" s="5"/>
      <c r="C47" s="4"/>
      <c r="D47" s="5"/>
      <c r="E47" s="5"/>
      <c r="F47" s="5"/>
      <c r="G47" s="5"/>
      <c r="H47" s="5"/>
      <c r="I47" s="5"/>
      <c r="J47" s="5"/>
      <c r="K47" s="5"/>
      <c r="L47" s="39"/>
    </row>
    <row r="48" spans="1:19" x14ac:dyDescent="0.25">
      <c r="A48" s="5"/>
      <c r="B48" s="5"/>
      <c r="C48" s="4"/>
      <c r="D48" s="5"/>
      <c r="E48" s="5"/>
      <c r="F48" s="5"/>
      <c r="G48" s="5"/>
      <c r="H48" s="5"/>
      <c r="I48" s="5"/>
      <c r="J48" s="5"/>
      <c r="K48" s="5"/>
      <c r="L48" s="39"/>
    </row>
    <row r="49" spans="1:12" x14ac:dyDescent="0.25">
      <c r="A49" s="5"/>
      <c r="B49" s="5"/>
      <c r="C49" s="4"/>
      <c r="D49" s="5"/>
      <c r="E49" s="5"/>
      <c r="F49" s="5"/>
      <c r="G49" s="5"/>
      <c r="H49" s="5"/>
      <c r="I49" s="5"/>
      <c r="J49" s="5"/>
      <c r="K49" s="5"/>
      <c r="L49" s="39"/>
    </row>
    <row r="50" spans="1:12" x14ac:dyDescent="0.25">
      <c r="A50" s="5"/>
      <c r="B50" s="5"/>
      <c r="C50" s="4"/>
      <c r="D50" s="5"/>
      <c r="E50" s="5"/>
      <c r="F50" s="5"/>
      <c r="G50" s="5"/>
      <c r="H50" s="5"/>
      <c r="I50" s="5"/>
      <c r="J50" s="5"/>
      <c r="K50" s="5"/>
      <c r="L50" s="39"/>
    </row>
    <row r="51" spans="1:12" x14ac:dyDescent="0.25">
      <c r="A51" s="5"/>
      <c r="B51" s="5"/>
      <c r="C51" s="4"/>
      <c r="D51" s="5"/>
      <c r="E51" s="5"/>
      <c r="F51" s="5"/>
      <c r="G51" s="5"/>
      <c r="H51" s="5"/>
      <c r="I51" s="5"/>
      <c r="J51" s="5"/>
      <c r="K51" s="5"/>
      <c r="L51" s="39"/>
    </row>
  </sheetData>
  <printOptions horizontalCentered="1"/>
  <pageMargins left="0.5" right="0.75" top="0.75" bottom="0.75" header="0.5" footer="0.5"/>
  <pageSetup scale="66" orientation="portrait" r:id="rId1"/>
  <headerFooter>
    <oddFooter>Page &amp;P of &amp;N</oddFooter>
  </headerFooter>
  <ignoredErrors>
    <ignoredError sqref="H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96"/>
  <sheetViews>
    <sheetView showZeros="0" topLeftCell="A4" workbookViewId="0">
      <pane xSplit="5" ySplit="4" topLeftCell="F8" activePane="bottomRight" state="frozen"/>
      <selection activeCell="A4" sqref="A4"/>
      <selection pane="topRight" activeCell="F4" sqref="F4"/>
      <selection pane="bottomLeft" activeCell="A8" sqref="A8"/>
      <selection pane="bottomRight" activeCell="E5" sqref="E5"/>
    </sheetView>
  </sheetViews>
  <sheetFormatPr defaultRowHeight="13.2" x14ac:dyDescent="0.25"/>
  <cols>
    <col min="1" max="1" width="3.33203125" customWidth="1"/>
    <col min="2" max="4" width="2.33203125" customWidth="1"/>
    <col min="5" max="5" width="23.6640625" customWidth="1"/>
    <col min="6" max="7" width="13.6640625" customWidth="1"/>
    <col min="8" max="8" width="13.33203125" bestFit="1" customWidth="1"/>
    <col min="9" max="9" width="13.33203125" customWidth="1"/>
    <col min="10" max="10" width="2.6640625" customWidth="1"/>
    <col min="11" max="11" width="11.6640625" customWidth="1"/>
    <col min="12" max="12" width="10.6640625" style="5" customWidth="1"/>
    <col min="13" max="13" width="12.6640625" hidden="1" customWidth="1"/>
    <col min="14" max="14" width="13.5546875" hidden="1" customWidth="1"/>
    <col min="15" max="16" width="1.44140625" hidden="1" customWidth="1"/>
    <col min="17" max="17" width="10.6640625" style="5" customWidth="1"/>
    <col min="18" max="18" width="9.88671875" customWidth="1"/>
    <col min="19" max="19" width="2.33203125" customWidth="1"/>
    <col min="20" max="20" width="10.109375" bestFit="1" customWidth="1"/>
    <col min="21" max="21" width="3.88671875" customWidth="1"/>
    <col min="22" max="22" width="10.109375" bestFit="1" customWidth="1"/>
  </cols>
  <sheetData>
    <row r="1" spans="1:23" ht="15" x14ac:dyDescent="0.25">
      <c r="A1" s="4"/>
      <c r="B1" s="1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Q1" s="24"/>
    </row>
    <row r="2" spans="1:23" ht="15" x14ac:dyDescent="0.25">
      <c r="A2" s="4"/>
      <c r="B2" s="1" t="s">
        <v>55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24"/>
    </row>
    <row r="3" spans="1:23" ht="15" x14ac:dyDescent="0.25">
      <c r="A3" s="4"/>
      <c r="B3" s="1" t="s">
        <v>200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Q3" s="24"/>
    </row>
    <row r="4" spans="1:23" ht="15" x14ac:dyDescent="0.25">
      <c r="A4" s="4"/>
      <c r="B4" s="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"/>
      <c r="Q4" s="24"/>
    </row>
    <row r="5" spans="1:23" ht="15" x14ac:dyDescent="0.25">
      <c r="A5" s="4"/>
      <c r="B5" s="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  <c r="Q5" s="24"/>
    </row>
    <row r="6" spans="1:23" x14ac:dyDescent="0.25">
      <c r="A6" s="4"/>
      <c r="B6" s="4"/>
      <c r="C6" s="4"/>
      <c r="D6" s="4"/>
      <c r="E6" s="4"/>
      <c r="F6" s="33" t="s">
        <v>56</v>
      </c>
      <c r="G6" s="33" t="s">
        <v>205</v>
      </c>
      <c r="H6" s="34" t="s">
        <v>57</v>
      </c>
      <c r="I6" s="33"/>
      <c r="J6" s="33"/>
      <c r="K6" s="34" t="s">
        <v>173</v>
      </c>
      <c r="L6" s="33" t="s">
        <v>87</v>
      </c>
      <c r="M6" s="57" t="s">
        <v>58</v>
      </c>
      <c r="N6" s="58" t="s">
        <v>59</v>
      </c>
      <c r="Q6" s="33" t="s">
        <v>173</v>
      </c>
      <c r="R6" s="33" t="s">
        <v>165</v>
      </c>
      <c r="T6" s="33" t="s">
        <v>186</v>
      </c>
      <c r="V6" s="33" t="s">
        <v>209</v>
      </c>
    </row>
    <row r="7" spans="1:23" x14ac:dyDescent="0.25">
      <c r="A7" s="4"/>
      <c r="B7" s="4"/>
      <c r="C7" s="4"/>
      <c r="D7" s="4"/>
      <c r="E7" s="4"/>
      <c r="F7" s="35" t="s">
        <v>201</v>
      </c>
      <c r="G7" s="35" t="s">
        <v>60</v>
      </c>
      <c r="H7" s="36" t="s">
        <v>60</v>
      </c>
      <c r="I7" s="35" t="s">
        <v>86</v>
      </c>
      <c r="J7" s="35"/>
      <c r="K7" s="36" t="s">
        <v>60</v>
      </c>
      <c r="L7" s="35" t="s">
        <v>56</v>
      </c>
      <c r="M7" s="57" t="s">
        <v>61</v>
      </c>
      <c r="N7" s="56" t="s">
        <v>62</v>
      </c>
      <c r="Q7" s="35" t="s">
        <v>56</v>
      </c>
      <c r="R7" s="35" t="s">
        <v>166</v>
      </c>
    </row>
    <row r="8" spans="1:23" x14ac:dyDescent="0.25">
      <c r="A8" s="4"/>
      <c r="B8" s="37" t="s">
        <v>35</v>
      </c>
      <c r="C8" s="4"/>
      <c r="D8" s="4"/>
      <c r="E8" s="4"/>
      <c r="F8" s="4"/>
      <c r="G8" s="5"/>
      <c r="H8" s="4"/>
      <c r="I8" s="4"/>
      <c r="J8" s="4"/>
      <c r="K8" s="27"/>
      <c r="L8" s="4"/>
      <c r="M8" s="4"/>
      <c r="N8" s="4"/>
      <c r="Q8" s="4"/>
    </row>
    <row r="9" spans="1:23" x14ac:dyDescent="0.25">
      <c r="A9" s="4"/>
      <c r="B9" s="37"/>
      <c r="C9" s="4" t="s">
        <v>94</v>
      </c>
      <c r="D9" s="4"/>
      <c r="E9" s="4"/>
      <c r="F9" s="4"/>
      <c r="G9" s="11"/>
      <c r="H9" s="4"/>
      <c r="I9" s="4"/>
      <c r="J9" s="4"/>
      <c r="K9" s="27"/>
      <c r="L9" s="4"/>
      <c r="M9" s="4"/>
      <c r="N9" s="4"/>
      <c r="Q9" s="4"/>
    </row>
    <row r="10" spans="1:23" x14ac:dyDescent="0.25">
      <c r="A10" s="4"/>
      <c r="B10" s="37"/>
      <c r="C10" s="4"/>
      <c r="D10" s="4" t="s">
        <v>95</v>
      </c>
      <c r="E10" s="4"/>
      <c r="F10" s="27">
        <v>199.72</v>
      </c>
      <c r="G10" s="11">
        <f>(+H10/12)*9</f>
        <v>1800</v>
      </c>
      <c r="H10" s="27">
        <v>2400</v>
      </c>
      <c r="I10" s="11">
        <f>+H10-F10</f>
        <v>2200.2800000000002</v>
      </c>
      <c r="J10" s="4"/>
      <c r="K10" s="27">
        <v>2000</v>
      </c>
      <c r="L10" s="27">
        <v>1142.25</v>
      </c>
      <c r="M10" s="4"/>
      <c r="N10" s="4"/>
      <c r="O10" s="5"/>
      <c r="P10" s="5"/>
      <c r="Q10" s="27">
        <v>1790.61</v>
      </c>
      <c r="R10" s="49">
        <v>0</v>
      </c>
      <c r="T10" s="49">
        <v>200</v>
      </c>
      <c r="V10" s="49">
        <v>1000</v>
      </c>
    </row>
    <row r="11" spans="1:23" x14ac:dyDescent="0.25">
      <c r="A11" s="4"/>
      <c r="B11" s="37"/>
      <c r="C11" s="4"/>
      <c r="D11" s="4" t="s">
        <v>72</v>
      </c>
      <c r="E11" s="4"/>
      <c r="F11" s="27">
        <v>3483.89</v>
      </c>
      <c r="G11" s="11">
        <f t="shared" ref="G11:G28" si="0">(+H11/12)*9</f>
        <v>4875</v>
      </c>
      <c r="H11" s="27">
        <v>6500</v>
      </c>
      <c r="I11" s="11">
        <f>+H11-F11</f>
        <v>3016.11</v>
      </c>
      <c r="J11" s="4"/>
      <c r="K11" s="27">
        <v>4800</v>
      </c>
      <c r="L11" s="27">
        <v>4484</v>
      </c>
      <c r="M11" s="4"/>
      <c r="N11" s="4"/>
      <c r="O11" s="5"/>
      <c r="P11" s="5"/>
      <c r="Q11" s="27">
        <v>7107.25</v>
      </c>
      <c r="R11" s="49">
        <v>0</v>
      </c>
      <c r="T11" s="49">
        <v>5000</v>
      </c>
      <c r="V11" s="73">
        <v>5000</v>
      </c>
      <c r="W11" t="s">
        <v>238</v>
      </c>
    </row>
    <row r="12" spans="1:23" x14ac:dyDescent="0.25">
      <c r="A12" s="4"/>
      <c r="B12" s="4"/>
      <c r="C12" s="4" t="s">
        <v>36</v>
      </c>
      <c r="D12" s="4"/>
      <c r="E12" s="4"/>
      <c r="F12" s="27">
        <v>2297.21</v>
      </c>
      <c r="G12" s="11">
        <f t="shared" si="0"/>
        <v>1725</v>
      </c>
      <c r="H12" s="27">
        <v>2300</v>
      </c>
      <c r="I12" s="11">
        <f t="shared" ref="I12:I80" si="1">+H12-F12</f>
        <v>2.7899999999999636</v>
      </c>
      <c r="J12" s="11"/>
      <c r="K12" s="27">
        <v>2300</v>
      </c>
      <c r="L12" s="27">
        <v>519.63</v>
      </c>
      <c r="M12" s="44">
        <f>+F12/K12</f>
        <v>0.9987869565217391</v>
      </c>
      <c r="N12" s="39">
        <f>-M12+M$88</f>
        <v>-0.83212028985507247</v>
      </c>
      <c r="O12" s="5"/>
      <c r="P12" s="5"/>
      <c r="Q12" s="27">
        <v>1068.29</v>
      </c>
      <c r="R12" s="49">
        <v>251.82</v>
      </c>
      <c r="T12" s="70">
        <v>3400</v>
      </c>
      <c r="V12" s="49">
        <v>2600</v>
      </c>
    </row>
    <row r="13" spans="1:23" hidden="1" x14ac:dyDescent="0.25">
      <c r="A13" s="4"/>
      <c r="B13" s="4"/>
      <c r="C13" s="4" t="s">
        <v>188</v>
      </c>
      <c r="D13" s="4"/>
      <c r="E13" s="4"/>
      <c r="F13" s="27"/>
      <c r="G13" s="11">
        <f t="shared" si="0"/>
        <v>0</v>
      </c>
      <c r="H13" s="27"/>
      <c r="I13" s="11"/>
      <c r="J13" s="11"/>
      <c r="K13" s="27"/>
      <c r="L13" s="27"/>
      <c r="M13" s="44"/>
      <c r="N13" s="39"/>
      <c r="O13" s="5"/>
      <c r="P13" s="5"/>
      <c r="Q13" s="27"/>
      <c r="R13" s="49"/>
      <c r="T13" s="49"/>
    </row>
    <row r="14" spans="1:23" hidden="1" x14ac:dyDescent="0.25">
      <c r="A14" s="4"/>
      <c r="B14" s="4"/>
      <c r="C14" s="4"/>
      <c r="D14" s="4" t="s">
        <v>189</v>
      </c>
      <c r="E14" s="4"/>
      <c r="F14" s="27"/>
      <c r="G14" s="11">
        <f t="shared" si="0"/>
        <v>0</v>
      </c>
      <c r="H14" s="27"/>
      <c r="I14" s="11"/>
      <c r="J14" s="11"/>
      <c r="K14" s="27"/>
      <c r="L14" s="27"/>
      <c r="M14" s="44"/>
      <c r="N14" s="39"/>
      <c r="O14" s="5"/>
      <c r="P14" s="5"/>
      <c r="Q14" s="27"/>
      <c r="R14" s="49"/>
      <c r="T14" s="49">
        <v>8400</v>
      </c>
    </row>
    <row r="15" spans="1:23" hidden="1" x14ac:dyDescent="0.25">
      <c r="A15" s="4"/>
      <c r="B15" s="4"/>
      <c r="C15" s="4"/>
      <c r="D15" s="4" t="s">
        <v>190</v>
      </c>
      <c r="E15" s="4"/>
      <c r="F15" s="27"/>
      <c r="G15" s="11">
        <f t="shared" si="0"/>
        <v>0</v>
      </c>
      <c r="H15" s="27"/>
      <c r="I15" s="11"/>
      <c r="J15" s="11"/>
      <c r="K15" s="27"/>
      <c r="L15" s="27"/>
      <c r="M15" s="44"/>
      <c r="N15" s="39"/>
      <c r="O15" s="5"/>
      <c r="P15" s="5"/>
      <c r="Q15" s="27"/>
      <c r="R15" s="49"/>
      <c r="T15" s="49">
        <v>10250</v>
      </c>
    </row>
    <row r="16" spans="1:23" hidden="1" x14ac:dyDescent="0.25">
      <c r="A16" s="4"/>
      <c r="B16" s="4"/>
      <c r="C16" s="4"/>
      <c r="D16" s="4" t="s">
        <v>191</v>
      </c>
      <c r="E16" s="4"/>
      <c r="F16" s="27"/>
      <c r="G16" s="11">
        <f t="shared" si="0"/>
        <v>0</v>
      </c>
      <c r="H16" s="27"/>
      <c r="I16" s="11"/>
      <c r="J16" s="11"/>
      <c r="K16" s="27"/>
      <c r="L16" s="27"/>
      <c r="M16" s="44"/>
      <c r="N16" s="39"/>
      <c r="O16" s="5"/>
      <c r="P16" s="5"/>
      <c r="Q16" s="27"/>
      <c r="R16" s="49"/>
      <c r="T16" s="49">
        <v>20000</v>
      </c>
    </row>
    <row r="17" spans="1:23" hidden="1" x14ac:dyDescent="0.25">
      <c r="A17" s="4"/>
      <c r="B17" s="4"/>
      <c r="C17" s="4"/>
      <c r="D17" s="4" t="s">
        <v>192</v>
      </c>
      <c r="E17" s="4"/>
      <c r="F17" s="27"/>
      <c r="G17" s="11">
        <f t="shared" si="0"/>
        <v>0</v>
      </c>
      <c r="H17" s="27"/>
      <c r="I17" s="11"/>
      <c r="J17" s="11"/>
      <c r="K17" s="27"/>
      <c r="L17" s="27"/>
      <c r="M17" s="44"/>
      <c r="N17" s="39"/>
      <c r="O17" s="5"/>
      <c r="P17" s="5"/>
      <c r="Q17" s="27"/>
      <c r="R17" s="49"/>
      <c r="T17" s="49"/>
    </row>
    <row r="18" spans="1:23" hidden="1" x14ac:dyDescent="0.25">
      <c r="A18" s="4"/>
      <c r="B18" s="4"/>
      <c r="C18" s="4"/>
      <c r="D18" s="4"/>
      <c r="E18" s="4" t="s">
        <v>193</v>
      </c>
      <c r="F18" s="27"/>
      <c r="G18" s="11">
        <f t="shared" si="0"/>
        <v>0</v>
      </c>
      <c r="H18" s="27"/>
      <c r="I18" s="11"/>
      <c r="J18" s="11"/>
      <c r="K18" s="27"/>
      <c r="L18" s="27"/>
      <c r="M18" s="44"/>
      <c r="N18" s="39"/>
      <c r="O18" s="5"/>
      <c r="P18" s="5"/>
      <c r="Q18" s="27"/>
      <c r="R18" s="49"/>
      <c r="T18" s="49">
        <v>4800</v>
      </c>
    </row>
    <row r="19" spans="1:23" hidden="1" x14ac:dyDescent="0.25">
      <c r="A19" s="4"/>
      <c r="B19" s="4"/>
      <c r="C19" s="4"/>
      <c r="D19" s="4"/>
      <c r="E19" s="4" t="s">
        <v>194</v>
      </c>
      <c r="F19" s="27"/>
      <c r="G19" s="11">
        <f t="shared" si="0"/>
        <v>0</v>
      </c>
      <c r="H19" s="27"/>
      <c r="I19" s="11"/>
      <c r="J19" s="11"/>
      <c r="K19" s="27"/>
      <c r="L19" s="27"/>
      <c r="M19" s="44"/>
      <c r="N19" s="39"/>
      <c r="O19" s="5"/>
      <c r="P19" s="5"/>
      <c r="Q19" s="27"/>
      <c r="R19" s="49"/>
      <c r="T19" s="49">
        <v>1200</v>
      </c>
    </row>
    <row r="20" spans="1:23" hidden="1" x14ac:dyDescent="0.25">
      <c r="A20" s="4"/>
      <c r="B20" s="4"/>
      <c r="C20" s="4"/>
      <c r="D20" s="4" t="s">
        <v>195</v>
      </c>
      <c r="E20" s="4"/>
      <c r="F20" s="27"/>
      <c r="G20" s="11">
        <f t="shared" si="0"/>
        <v>0</v>
      </c>
      <c r="H20" s="27"/>
      <c r="I20" s="11"/>
      <c r="J20" s="11"/>
      <c r="K20" s="27"/>
      <c r="L20" s="27"/>
      <c r="M20" s="44"/>
      <c r="N20" s="39"/>
      <c r="O20" s="5"/>
      <c r="P20" s="5"/>
      <c r="Q20" s="27"/>
      <c r="R20" s="49"/>
      <c r="T20" s="49"/>
    </row>
    <row r="21" spans="1:23" hidden="1" x14ac:dyDescent="0.25">
      <c r="A21" s="4"/>
      <c r="B21" s="4"/>
      <c r="C21" s="4"/>
      <c r="D21" s="4"/>
      <c r="E21" s="4" t="s">
        <v>193</v>
      </c>
      <c r="F21" s="27"/>
      <c r="G21" s="11">
        <f t="shared" si="0"/>
        <v>0</v>
      </c>
      <c r="H21" s="27"/>
      <c r="I21" s="11"/>
      <c r="J21" s="11"/>
      <c r="K21" s="27"/>
      <c r="L21" s="27"/>
      <c r="M21" s="44"/>
      <c r="N21" s="39"/>
      <c r="O21" s="5"/>
      <c r="P21" s="5"/>
      <c r="Q21" s="27"/>
      <c r="R21" s="49"/>
      <c r="T21" s="49">
        <v>2000</v>
      </c>
    </row>
    <row r="22" spans="1:23" hidden="1" x14ac:dyDescent="0.25">
      <c r="A22" s="4"/>
      <c r="B22" s="4"/>
      <c r="C22" s="4"/>
      <c r="D22" s="4"/>
      <c r="E22" s="4" t="s">
        <v>194</v>
      </c>
      <c r="F22" s="27"/>
      <c r="G22" s="11">
        <f t="shared" si="0"/>
        <v>0</v>
      </c>
      <c r="H22" s="27"/>
      <c r="I22" s="11"/>
      <c r="J22" s="11"/>
      <c r="K22" s="27"/>
      <c r="L22" s="27"/>
      <c r="M22" s="44"/>
      <c r="N22" s="39"/>
      <c r="O22" s="5"/>
      <c r="P22" s="5"/>
      <c r="Q22" s="27"/>
      <c r="R22" s="49"/>
      <c r="T22" s="49">
        <v>2000</v>
      </c>
    </row>
    <row r="23" spans="1:23" hidden="1" x14ac:dyDescent="0.25">
      <c r="A23" s="4"/>
      <c r="B23" s="4"/>
      <c r="C23" s="4"/>
      <c r="D23" s="4" t="s">
        <v>196</v>
      </c>
      <c r="E23" s="4"/>
      <c r="F23" s="27"/>
      <c r="G23" s="11">
        <f t="shared" si="0"/>
        <v>0</v>
      </c>
      <c r="H23" s="27"/>
      <c r="I23" s="11"/>
      <c r="J23" s="11"/>
      <c r="K23" s="27"/>
      <c r="L23" s="27"/>
      <c r="M23" s="44"/>
      <c r="N23" s="39"/>
      <c r="O23" s="5"/>
      <c r="P23" s="5"/>
      <c r="Q23" s="27"/>
      <c r="R23" s="49"/>
      <c r="T23" s="49">
        <v>6000</v>
      </c>
    </row>
    <row r="24" spans="1:23" hidden="1" x14ac:dyDescent="0.25">
      <c r="A24" s="4"/>
      <c r="B24" s="4"/>
      <c r="C24" s="4"/>
      <c r="D24" s="4" t="s">
        <v>197</v>
      </c>
      <c r="E24" s="4"/>
      <c r="F24" s="27"/>
      <c r="G24" s="11">
        <f t="shared" si="0"/>
        <v>0</v>
      </c>
      <c r="H24" s="27"/>
      <c r="I24" s="11"/>
      <c r="J24" s="11"/>
      <c r="K24" s="27"/>
      <c r="L24" s="27"/>
      <c r="M24" s="44"/>
      <c r="N24" s="39"/>
      <c r="O24" s="5"/>
      <c r="P24" s="5"/>
      <c r="Q24" s="27"/>
      <c r="R24" s="49"/>
      <c r="T24" s="49">
        <v>4000</v>
      </c>
    </row>
    <row r="25" spans="1:23" hidden="1" x14ac:dyDescent="0.25">
      <c r="A25" s="4"/>
      <c r="B25" s="4"/>
      <c r="C25" s="4"/>
      <c r="D25" s="4" t="s">
        <v>43</v>
      </c>
      <c r="E25" s="4"/>
      <c r="F25" s="27"/>
      <c r="G25" s="11">
        <f t="shared" si="0"/>
        <v>0</v>
      </c>
      <c r="H25" s="27"/>
      <c r="I25" s="11"/>
      <c r="J25" s="11"/>
      <c r="K25" s="27"/>
      <c r="L25" s="27"/>
      <c r="M25" s="44"/>
      <c r="N25" s="39"/>
      <c r="O25" s="5"/>
      <c r="P25" s="5"/>
      <c r="Q25" s="27"/>
      <c r="R25" s="49"/>
      <c r="T25" s="49">
        <v>600</v>
      </c>
    </row>
    <row r="26" spans="1:23" hidden="1" x14ac:dyDescent="0.25">
      <c r="A26" s="4"/>
      <c r="B26" s="4"/>
      <c r="C26" s="4"/>
      <c r="D26" s="4" t="s">
        <v>198</v>
      </c>
      <c r="E26" s="4"/>
      <c r="F26" s="27"/>
      <c r="G26" s="11">
        <f t="shared" si="0"/>
        <v>0</v>
      </c>
      <c r="H26" s="27"/>
      <c r="I26" s="11"/>
      <c r="J26" s="11"/>
      <c r="K26" s="27"/>
      <c r="L26" s="27"/>
      <c r="M26" s="44"/>
      <c r="N26" s="39"/>
      <c r="O26" s="5"/>
      <c r="P26" s="5"/>
      <c r="Q26" s="27"/>
      <c r="R26" s="49"/>
      <c r="T26" s="49">
        <v>35000</v>
      </c>
    </row>
    <row r="27" spans="1:23" hidden="1" x14ac:dyDescent="0.25">
      <c r="A27" s="4"/>
      <c r="B27" s="4"/>
      <c r="C27" s="4"/>
      <c r="D27" s="4" t="s">
        <v>199</v>
      </c>
      <c r="E27" s="4"/>
      <c r="F27" s="27"/>
      <c r="G27" s="11">
        <f t="shared" si="0"/>
        <v>0</v>
      </c>
      <c r="H27" s="27"/>
      <c r="I27" s="11"/>
      <c r="J27" s="11"/>
      <c r="K27" s="27"/>
      <c r="L27" s="27"/>
      <c r="M27" s="44"/>
      <c r="N27" s="39"/>
      <c r="O27" s="5"/>
      <c r="P27" s="5"/>
      <c r="Q27" s="27"/>
      <c r="R27" s="49"/>
      <c r="T27" s="49">
        <v>15000</v>
      </c>
    </row>
    <row r="28" spans="1:23" x14ac:dyDescent="0.25">
      <c r="A28" s="4"/>
      <c r="B28" s="4"/>
      <c r="C28" s="4" t="s">
        <v>174</v>
      </c>
      <c r="D28" s="4"/>
      <c r="E28" s="4"/>
      <c r="F28" s="27"/>
      <c r="G28" s="11">
        <f t="shared" si="0"/>
        <v>22707.75</v>
      </c>
      <c r="H28" s="27">
        <v>30277</v>
      </c>
      <c r="I28" s="11">
        <f t="shared" si="1"/>
        <v>30277</v>
      </c>
      <c r="J28" s="11"/>
      <c r="K28" s="27"/>
      <c r="L28" s="27"/>
      <c r="M28" s="44"/>
      <c r="N28" s="39"/>
      <c r="O28" s="5"/>
      <c r="P28" s="5"/>
      <c r="Q28" s="27"/>
      <c r="R28" s="49"/>
      <c r="T28" s="49"/>
    </row>
    <row r="29" spans="1:23" x14ac:dyDescent="0.25">
      <c r="A29" s="4"/>
      <c r="B29" s="4"/>
      <c r="C29" s="4" t="s">
        <v>40</v>
      </c>
      <c r="D29" s="4"/>
      <c r="E29" s="4"/>
      <c r="F29" s="27"/>
      <c r="G29" s="27"/>
      <c r="H29" s="27">
        <v>0</v>
      </c>
      <c r="I29" s="11">
        <f t="shared" si="1"/>
        <v>0</v>
      </c>
      <c r="J29" s="11"/>
      <c r="K29" s="27">
        <v>1000</v>
      </c>
      <c r="L29" s="27"/>
      <c r="M29" s="44">
        <f>+F29/K34</f>
        <v>0</v>
      </c>
      <c r="N29" s="39">
        <f>-M29+M$88</f>
        <v>0.16666666666666666</v>
      </c>
      <c r="O29" s="5"/>
      <c r="P29" s="5"/>
      <c r="Q29" s="27"/>
      <c r="R29" s="49">
        <v>0</v>
      </c>
      <c r="T29" s="49">
        <f t="shared" ref="T29:T81" si="2">+H29</f>
        <v>0</v>
      </c>
    </row>
    <row r="30" spans="1:23" x14ac:dyDescent="0.25">
      <c r="A30" s="4"/>
      <c r="B30" s="4"/>
      <c r="C30" s="4"/>
      <c r="D30" s="4" t="s">
        <v>41</v>
      </c>
      <c r="E30" s="4"/>
      <c r="F30" s="27">
        <v>2340.9299999999998</v>
      </c>
      <c r="G30" s="11">
        <f t="shared" ref="G30:G34" si="3">(+H30/12)*9</f>
        <v>3000</v>
      </c>
      <c r="H30" s="27">
        <v>4000</v>
      </c>
      <c r="I30" s="11">
        <f t="shared" si="1"/>
        <v>1659.0700000000002</v>
      </c>
      <c r="J30" s="11"/>
      <c r="K30" s="27">
        <v>7000</v>
      </c>
      <c r="L30" s="27">
        <v>3124.53</v>
      </c>
      <c r="M30" s="44"/>
      <c r="N30" s="39"/>
      <c r="O30" s="5"/>
      <c r="P30" s="5"/>
      <c r="Q30" s="27">
        <v>4073.1</v>
      </c>
      <c r="R30" s="49">
        <v>589.25</v>
      </c>
      <c r="T30" s="49">
        <v>2341</v>
      </c>
      <c r="V30" s="73">
        <v>5000</v>
      </c>
      <c r="W30" t="s">
        <v>247</v>
      </c>
    </row>
    <row r="31" spans="1:23" x14ac:dyDescent="0.25">
      <c r="A31" s="4"/>
      <c r="B31" s="4"/>
      <c r="C31" s="4"/>
      <c r="D31" s="4" t="s">
        <v>240</v>
      </c>
      <c r="E31" s="4"/>
      <c r="F31" s="27"/>
      <c r="G31" s="11"/>
      <c r="H31" s="27"/>
      <c r="I31" s="11"/>
      <c r="J31" s="11"/>
      <c r="K31" s="27"/>
      <c r="L31" s="27"/>
      <c r="M31" s="44"/>
      <c r="N31" s="39"/>
      <c r="O31" s="5"/>
      <c r="P31" s="5"/>
      <c r="Q31" s="27"/>
      <c r="R31" s="49"/>
      <c r="T31" s="49"/>
      <c r="V31" s="49">
        <v>6000</v>
      </c>
      <c r="W31" t="s">
        <v>241</v>
      </c>
    </row>
    <row r="32" spans="1:23" x14ac:dyDescent="0.25">
      <c r="A32" s="4"/>
      <c r="B32" s="4"/>
      <c r="C32" s="4"/>
      <c r="D32" s="4" t="s">
        <v>100</v>
      </c>
      <c r="E32" s="4"/>
      <c r="F32" s="27">
        <v>141.09</v>
      </c>
      <c r="G32" s="11">
        <f t="shared" si="3"/>
        <v>675</v>
      </c>
      <c r="H32" s="27">
        <v>900</v>
      </c>
      <c r="I32" s="11">
        <f t="shared" si="1"/>
        <v>758.91</v>
      </c>
      <c r="J32" s="11"/>
      <c r="K32" s="27">
        <v>900</v>
      </c>
      <c r="L32" s="27">
        <v>321.74</v>
      </c>
      <c r="M32" s="44"/>
      <c r="N32" s="39"/>
      <c r="O32" s="5"/>
      <c r="P32" s="5"/>
      <c r="Q32" s="27">
        <v>533.38</v>
      </c>
      <c r="R32" s="49">
        <v>30.12</v>
      </c>
      <c r="T32" s="49">
        <v>300</v>
      </c>
      <c r="V32" s="72"/>
      <c r="W32" t="s">
        <v>239</v>
      </c>
    </row>
    <row r="33" spans="1:23" x14ac:dyDescent="0.25">
      <c r="A33" s="4"/>
      <c r="B33" s="4"/>
      <c r="C33" s="4"/>
      <c r="D33" s="4" t="s">
        <v>80</v>
      </c>
      <c r="E33" s="4"/>
      <c r="F33" s="27"/>
      <c r="G33" s="11">
        <f t="shared" si="3"/>
        <v>4500</v>
      </c>
      <c r="H33" s="27">
        <v>6000</v>
      </c>
      <c r="I33" s="11">
        <f t="shared" si="1"/>
        <v>6000</v>
      </c>
      <c r="J33" s="11"/>
      <c r="K33" s="27">
        <v>5000</v>
      </c>
      <c r="L33" s="27">
        <v>940</v>
      </c>
      <c r="M33" s="44">
        <f>+F33/K33</f>
        <v>0</v>
      </c>
      <c r="N33" s="39">
        <f>-M33+M$88</f>
        <v>0.16666666666666666</v>
      </c>
      <c r="O33" s="5"/>
      <c r="P33" s="5"/>
      <c r="Q33" s="27">
        <v>7848.85</v>
      </c>
      <c r="R33" s="49">
        <v>0</v>
      </c>
      <c r="T33" s="49"/>
      <c r="V33" s="49">
        <v>5000</v>
      </c>
    </row>
    <row r="34" spans="1:23" x14ac:dyDescent="0.25">
      <c r="A34" s="4"/>
      <c r="B34" s="4"/>
      <c r="C34" s="4" t="s">
        <v>113</v>
      </c>
      <c r="D34" s="4"/>
      <c r="E34" s="4"/>
      <c r="F34" s="27">
        <v>2362.19</v>
      </c>
      <c r="G34" s="11">
        <f t="shared" si="3"/>
        <v>2625</v>
      </c>
      <c r="H34" s="27">
        <v>3500</v>
      </c>
      <c r="I34" s="11">
        <f t="shared" si="1"/>
        <v>1137.81</v>
      </c>
      <c r="J34" s="11"/>
      <c r="K34" s="27">
        <v>4800</v>
      </c>
      <c r="L34" s="27">
        <v>2764.6</v>
      </c>
      <c r="M34" s="44"/>
      <c r="N34" s="39"/>
      <c r="O34" s="5"/>
      <c r="P34" s="5"/>
      <c r="Q34" s="27">
        <v>2995.33</v>
      </c>
      <c r="R34" s="49">
        <v>350</v>
      </c>
      <c r="T34" s="49">
        <v>2500</v>
      </c>
      <c r="V34" s="49">
        <v>2500</v>
      </c>
    </row>
    <row r="35" spans="1:23" x14ac:dyDescent="0.25">
      <c r="A35" s="4"/>
      <c r="B35" s="4"/>
      <c r="C35" s="4" t="s">
        <v>105</v>
      </c>
      <c r="D35" s="4"/>
      <c r="E35" s="4"/>
      <c r="F35" s="27">
        <v>0</v>
      </c>
      <c r="G35" s="27"/>
      <c r="H35" s="27"/>
      <c r="I35" s="11">
        <f t="shared" si="1"/>
        <v>0</v>
      </c>
      <c r="J35" s="11"/>
      <c r="K35" s="27"/>
      <c r="L35" s="27">
        <v>0</v>
      </c>
      <c r="M35" s="44"/>
      <c r="N35" s="39"/>
      <c r="O35" s="5"/>
      <c r="P35" s="5"/>
      <c r="Q35" s="27"/>
      <c r="R35" s="49"/>
      <c r="T35" s="49">
        <f t="shared" si="2"/>
        <v>0</v>
      </c>
      <c r="V35" s="49"/>
    </row>
    <row r="36" spans="1:23" x14ac:dyDescent="0.25">
      <c r="A36" s="4"/>
      <c r="B36" s="4"/>
      <c r="C36" s="4"/>
      <c r="D36" s="4" t="s">
        <v>110</v>
      </c>
      <c r="E36" s="4"/>
      <c r="F36" s="27">
        <v>2875</v>
      </c>
      <c r="G36" s="11">
        <f t="shared" ref="G36:G38" si="4">(+H36/12)*9</f>
        <v>4500</v>
      </c>
      <c r="H36" s="27">
        <v>6000</v>
      </c>
      <c r="I36" s="11">
        <f t="shared" si="1"/>
        <v>3125</v>
      </c>
      <c r="J36" s="11"/>
      <c r="K36" s="27">
        <v>8000</v>
      </c>
      <c r="L36" s="27">
        <v>3812.5</v>
      </c>
      <c r="M36" s="44"/>
      <c r="N36" s="39"/>
      <c r="O36" s="5"/>
      <c r="P36" s="5"/>
      <c r="Q36" s="27">
        <v>4250</v>
      </c>
      <c r="R36" s="49">
        <v>0</v>
      </c>
      <c r="T36" s="49">
        <v>4000</v>
      </c>
      <c r="V36" s="49">
        <v>4000</v>
      </c>
      <c r="W36" t="s">
        <v>242</v>
      </c>
    </row>
    <row r="37" spans="1:23" x14ac:dyDescent="0.25">
      <c r="A37" s="4"/>
      <c r="B37" s="4"/>
      <c r="C37" s="4"/>
      <c r="D37" s="4" t="s">
        <v>106</v>
      </c>
      <c r="E37" s="4"/>
      <c r="F37" s="27">
        <v>2498.2600000000002</v>
      </c>
      <c r="G37" s="11">
        <f t="shared" si="4"/>
        <v>4500</v>
      </c>
      <c r="H37" s="27">
        <v>6000</v>
      </c>
      <c r="I37" s="11">
        <f t="shared" si="1"/>
        <v>3501.74</v>
      </c>
      <c r="J37" s="11"/>
      <c r="K37" s="27">
        <v>7500</v>
      </c>
      <c r="L37" s="27">
        <v>2636.35</v>
      </c>
      <c r="M37" s="44"/>
      <c r="N37" s="39"/>
      <c r="O37" s="5"/>
      <c r="P37" s="5"/>
      <c r="Q37" s="27">
        <v>4736.47</v>
      </c>
      <c r="R37" s="49">
        <v>0</v>
      </c>
      <c r="T37" s="49">
        <v>2500</v>
      </c>
      <c r="V37" s="49">
        <v>6000</v>
      </c>
    </row>
    <row r="38" spans="1:23" x14ac:dyDescent="0.25">
      <c r="A38" s="4"/>
      <c r="B38" s="4"/>
      <c r="C38" s="4"/>
      <c r="D38" s="4" t="s">
        <v>140</v>
      </c>
      <c r="E38" s="4"/>
      <c r="F38" s="27">
        <v>2707.07</v>
      </c>
      <c r="G38" s="11">
        <f t="shared" si="4"/>
        <v>1500</v>
      </c>
      <c r="H38" s="27">
        <v>2000</v>
      </c>
      <c r="I38" s="11">
        <f t="shared" si="1"/>
        <v>-707.07000000000016</v>
      </c>
      <c r="J38" s="11"/>
      <c r="K38" s="27">
        <v>4000</v>
      </c>
      <c r="L38" s="27">
        <v>0</v>
      </c>
      <c r="M38" s="44"/>
      <c r="N38" s="39"/>
      <c r="O38" s="5"/>
      <c r="P38" s="5"/>
      <c r="Q38" s="27">
        <v>3458.87</v>
      </c>
      <c r="R38" s="49">
        <v>0</v>
      </c>
      <c r="T38" s="49">
        <v>2707</v>
      </c>
      <c r="V38" s="49">
        <v>3000</v>
      </c>
    </row>
    <row r="39" spans="1:23" x14ac:dyDescent="0.25">
      <c r="A39" s="4"/>
      <c r="B39" s="4"/>
      <c r="C39" s="4"/>
      <c r="D39" s="4" t="s">
        <v>148</v>
      </c>
      <c r="E39" s="4"/>
      <c r="F39" s="27"/>
      <c r="G39" s="27"/>
      <c r="H39" s="27">
        <v>0</v>
      </c>
      <c r="I39" s="11">
        <f t="shared" si="1"/>
        <v>0</v>
      </c>
      <c r="J39" s="11"/>
      <c r="K39" s="27"/>
      <c r="L39" s="27">
        <v>201.03</v>
      </c>
      <c r="M39" s="44"/>
      <c r="N39" s="39"/>
      <c r="O39" s="5"/>
      <c r="P39" s="5"/>
      <c r="Q39" s="27">
        <v>267.43</v>
      </c>
      <c r="R39" s="49"/>
      <c r="T39" s="49">
        <f t="shared" si="2"/>
        <v>0</v>
      </c>
      <c r="V39" s="74">
        <v>203981</v>
      </c>
      <c r="W39" t="s">
        <v>243</v>
      </c>
    </row>
    <row r="40" spans="1:23" x14ac:dyDescent="0.25">
      <c r="A40" s="4"/>
      <c r="B40" s="4"/>
      <c r="C40" s="4"/>
      <c r="D40" s="4" t="s">
        <v>147</v>
      </c>
      <c r="E40" s="4"/>
      <c r="F40" s="27"/>
      <c r="G40" s="27"/>
      <c r="H40" s="27">
        <v>0</v>
      </c>
      <c r="I40" s="11">
        <f t="shared" si="1"/>
        <v>0</v>
      </c>
      <c r="J40" s="11"/>
      <c r="L40" s="27"/>
      <c r="M40" s="44"/>
      <c r="N40" s="39"/>
      <c r="O40" s="5"/>
      <c r="P40" s="5"/>
      <c r="Q40" s="27"/>
      <c r="R40" s="49"/>
      <c r="T40" s="49">
        <f t="shared" si="2"/>
        <v>0</v>
      </c>
      <c r="V40" s="72"/>
    </row>
    <row r="41" spans="1:23" x14ac:dyDescent="0.25">
      <c r="A41" s="4"/>
      <c r="B41" s="4"/>
      <c r="C41" s="4"/>
      <c r="D41" s="4" t="s">
        <v>244</v>
      </c>
      <c r="E41" s="4"/>
      <c r="F41" s="27">
        <v>4183.38</v>
      </c>
      <c r="G41" s="11">
        <f t="shared" ref="G41:G46" si="5">(+H41/12)*9</f>
        <v>6750</v>
      </c>
      <c r="H41" s="27">
        <v>9000</v>
      </c>
      <c r="I41" s="11">
        <f t="shared" si="1"/>
        <v>4816.62</v>
      </c>
      <c r="J41" s="11"/>
      <c r="K41" s="27">
        <v>15000</v>
      </c>
      <c r="L41" s="27">
        <v>9041.5400000000009</v>
      </c>
      <c r="M41" s="44"/>
      <c r="N41" s="39"/>
      <c r="O41" s="5"/>
      <c r="P41" s="5"/>
      <c r="Q41" s="27">
        <v>16300.6</v>
      </c>
      <c r="R41" s="49">
        <v>0</v>
      </c>
      <c r="T41" s="49">
        <v>4183</v>
      </c>
      <c r="V41" s="49">
        <v>8000</v>
      </c>
    </row>
    <row r="42" spans="1:23" x14ac:dyDescent="0.25">
      <c r="A42" s="4"/>
      <c r="B42" s="4"/>
      <c r="C42" s="4"/>
      <c r="D42" s="4" t="s">
        <v>150</v>
      </c>
      <c r="E42" s="4"/>
      <c r="F42" s="27"/>
      <c r="G42" s="11">
        <f t="shared" si="5"/>
        <v>2250</v>
      </c>
      <c r="H42" s="27">
        <v>3000</v>
      </c>
      <c r="I42" s="11">
        <f t="shared" si="1"/>
        <v>3000</v>
      </c>
      <c r="J42" s="11"/>
      <c r="K42" s="27"/>
      <c r="L42" s="27">
        <v>868.96</v>
      </c>
      <c r="M42" s="44"/>
      <c r="N42" s="39"/>
      <c r="O42" s="5"/>
      <c r="P42" s="5"/>
      <c r="Q42" s="27">
        <v>1014.94</v>
      </c>
      <c r="R42" s="49"/>
      <c r="T42" s="11"/>
      <c r="V42" s="72"/>
      <c r="W42" t="s">
        <v>245</v>
      </c>
    </row>
    <row r="43" spans="1:23" x14ac:dyDescent="0.25">
      <c r="A43" s="4"/>
      <c r="B43" s="4"/>
      <c r="C43" s="4"/>
      <c r="D43" s="4" t="s">
        <v>107</v>
      </c>
      <c r="E43" s="4"/>
      <c r="F43" s="27">
        <v>70.680000000000007</v>
      </c>
      <c r="G43" s="11">
        <f t="shared" si="5"/>
        <v>2625</v>
      </c>
      <c r="H43" s="27">
        <v>3500</v>
      </c>
      <c r="I43" s="11">
        <f t="shared" si="1"/>
        <v>3429.32</v>
      </c>
      <c r="J43" s="11"/>
      <c r="K43" s="27">
        <v>3500</v>
      </c>
      <c r="L43" s="27">
        <v>2113.04</v>
      </c>
      <c r="M43" s="44"/>
      <c r="N43" s="39"/>
      <c r="Q43" s="27">
        <v>3188.29</v>
      </c>
      <c r="R43" s="49">
        <v>0</v>
      </c>
      <c r="T43" s="49">
        <v>71</v>
      </c>
      <c r="V43" s="49">
        <v>2000</v>
      </c>
    </row>
    <row r="44" spans="1:23" x14ac:dyDescent="0.25">
      <c r="A44" s="4"/>
      <c r="B44" s="4"/>
      <c r="C44" s="4"/>
      <c r="D44" s="4" t="s">
        <v>155</v>
      </c>
      <c r="E44" s="4"/>
      <c r="F44" s="27"/>
      <c r="G44" s="11">
        <f t="shared" si="5"/>
        <v>3975</v>
      </c>
      <c r="H44" s="27">
        <v>5300</v>
      </c>
      <c r="I44" s="11">
        <f t="shared" si="1"/>
        <v>5300</v>
      </c>
      <c r="J44" s="11"/>
      <c r="K44" s="27"/>
      <c r="L44" s="27">
        <v>469.38</v>
      </c>
      <c r="M44" s="44"/>
      <c r="N44" s="39"/>
      <c r="Q44" s="27">
        <v>469.38</v>
      </c>
      <c r="R44" s="49"/>
      <c r="T44" s="49">
        <v>0</v>
      </c>
      <c r="V44" s="49">
        <v>1000</v>
      </c>
    </row>
    <row r="45" spans="1:23" x14ac:dyDescent="0.25">
      <c r="A45" s="4"/>
      <c r="B45" s="4"/>
      <c r="C45" s="4" t="s">
        <v>158</v>
      </c>
      <c r="D45" s="4"/>
      <c r="E45" s="4"/>
      <c r="F45" s="27">
        <v>107.63</v>
      </c>
      <c r="G45" s="11">
        <f t="shared" si="5"/>
        <v>2250</v>
      </c>
      <c r="H45" s="27">
        <v>3000</v>
      </c>
      <c r="I45" s="11">
        <f t="shared" si="1"/>
        <v>2892.37</v>
      </c>
      <c r="J45" s="11"/>
      <c r="K45" s="27">
        <v>6500</v>
      </c>
      <c r="L45" s="27">
        <v>178.52</v>
      </c>
      <c r="M45" s="44"/>
      <c r="N45" s="39"/>
      <c r="Q45" s="27">
        <v>307.06</v>
      </c>
      <c r="R45" s="49">
        <v>0</v>
      </c>
      <c r="T45" s="49">
        <v>108</v>
      </c>
      <c r="V45" s="49">
        <v>3600</v>
      </c>
    </row>
    <row r="46" spans="1:23" x14ac:dyDescent="0.25">
      <c r="A46" s="4"/>
      <c r="B46" s="4"/>
      <c r="C46" s="4" t="s">
        <v>63</v>
      </c>
      <c r="D46" s="4"/>
      <c r="E46" s="4"/>
      <c r="F46" s="27">
        <v>1421.03</v>
      </c>
      <c r="G46" s="11">
        <f t="shared" si="5"/>
        <v>1425</v>
      </c>
      <c r="H46" s="27">
        <v>1900</v>
      </c>
      <c r="I46" s="11">
        <f t="shared" si="1"/>
        <v>478.97</v>
      </c>
      <c r="J46" s="11"/>
      <c r="K46" s="27">
        <v>1800</v>
      </c>
      <c r="L46" s="27">
        <v>1402.97</v>
      </c>
      <c r="M46" s="44">
        <f t="shared" ref="M46" si="6">+F46/K46</f>
        <v>0.78946111111111106</v>
      </c>
      <c r="N46" s="39">
        <f>-M46+M$88</f>
        <v>-0.62279444444444443</v>
      </c>
      <c r="Q46" s="27">
        <v>1877.49</v>
      </c>
      <c r="R46" s="49">
        <v>152.75</v>
      </c>
      <c r="T46" s="70">
        <v>1880</v>
      </c>
      <c r="V46" s="49">
        <v>1900</v>
      </c>
    </row>
    <row r="47" spans="1:23" x14ac:dyDescent="0.25">
      <c r="A47" s="4"/>
      <c r="B47" s="4"/>
      <c r="C47" s="4" t="s">
        <v>169</v>
      </c>
      <c r="D47" s="4"/>
      <c r="E47" s="4"/>
      <c r="F47" s="27"/>
      <c r="G47" s="27"/>
      <c r="H47" s="27"/>
      <c r="I47" s="11"/>
      <c r="J47" s="11"/>
      <c r="K47" s="27"/>
      <c r="L47" s="27"/>
      <c r="M47" s="44"/>
      <c r="N47" s="39"/>
      <c r="Q47" s="27"/>
      <c r="R47" s="49">
        <v>0</v>
      </c>
      <c r="T47" s="49">
        <f t="shared" si="2"/>
        <v>0</v>
      </c>
    </row>
    <row r="48" spans="1:23" x14ac:dyDescent="0.25">
      <c r="A48" s="4"/>
      <c r="B48" s="4"/>
      <c r="C48" s="4"/>
      <c r="D48" s="4" t="s">
        <v>139</v>
      </c>
      <c r="E48" s="4"/>
      <c r="F48" s="27">
        <v>1950.02</v>
      </c>
      <c r="G48" s="11">
        <f>(+H48/12)*9</f>
        <v>4500</v>
      </c>
      <c r="H48" s="27">
        <v>6000</v>
      </c>
      <c r="I48" s="11">
        <f t="shared" si="1"/>
        <v>4049.98</v>
      </c>
      <c r="J48" s="11"/>
      <c r="K48" s="27">
        <v>5000</v>
      </c>
      <c r="L48" s="27">
        <v>5774.81</v>
      </c>
      <c r="M48" s="44"/>
      <c r="N48" s="39"/>
      <c r="Q48" s="27">
        <v>5774.81</v>
      </c>
      <c r="R48" s="49">
        <v>132.52000000000001</v>
      </c>
      <c r="T48" s="49">
        <v>6000</v>
      </c>
      <c r="V48" s="49">
        <v>6000</v>
      </c>
    </row>
    <row r="49" spans="1:23" x14ac:dyDescent="0.25">
      <c r="A49" s="4"/>
      <c r="B49" s="4"/>
      <c r="C49" s="4" t="s">
        <v>92</v>
      </c>
      <c r="D49" s="4"/>
      <c r="E49" s="4"/>
      <c r="F49" s="27"/>
      <c r="G49" s="27"/>
      <c r="H49" s="27"/>
      <c r="I49" s="11">
        <f t="shared" si="1"/>
        <v>0</v>
      </c>
      <c r="J49" s="11"/>
      <c r="K49" s="27"/>
      <c r="L49" s="27">
        <v>0</v>
      </c>
      <c r="M49" s="44"/>
      <c r="N49" s="39"/>
      <c r="Q49" s="27">
        <v>0</v>
      </c>
      <c r="R49" s="49"/>
      <c r="T49" s="49">
        <f t="shared" si="2"/>
        <v>0</v>
      </c>
    </row>
    <row r="50" spans="1:23" x14ac:dyDescent="0.25">
      <c r="A50" s="4"/>
      <c r="B50" s="4"/>
      <c r="C50" s="4"/>
      <c r="D50" s="4" t="s">
        <v>170</v>
      </c>
      <c r="E50" s="4"/>
      <c r="F50" s="27">
        <v>160</v>
      </c>
      <c r="G50" s="11">
        <f>(+H50/12)*9</f>
        <v>13875</v>
      </c>
      <c r="H50" s="27">
        <v>18500</v>
      </c>
      <c r="I50" s="11">
        <f t="shared" si="1"/>
        <v>18340</v>
      </c>
      <c r="J50" s="11"/>
      <c r="K50" s="27">
        <v>20000</v>
      </c>
      <c r="L50" s="27">
        <v>387.33</v>
      </c>
      <c r="M50" s="44"/>
      <c r="N50" s="39"/>
      <c r="Q50" s="27"/>
      <c r="R50" s="49">
        <v>0</v>
      </c>
      <c r="T50" s="49">
        <v>160</v>
      </c>
      <c r="V50" s="49">
        <v>30000</v>
      </c>
    </row>
    <row r="51" spans="1:23" x14ac:dyDescent="0.25">
      <c r="A51" s="4"/>
      <c r="B51" s="4"/>
      <c r="C51" s="4"/>
      <c r="D51" s="4" t="s">
        <v>144</v>
      </c>
      <c r="E51" s="4"/>
      <c r="F51" s="27"/>
      <c r="G51" s="27"/>
      <c r="H51" s="27"/>
      <c r="I51" s="11">
        <f>+H51-F51</f>
        <v>0</v>
      </c>
      <c r="J51" s="11"/>
      <c r="K51" s="27"/>
      <c r="L51" s="27">
        <v>210</v>
      </c>
      <c r="M51" s="44"/>
      <c r="N51" s="39"/>
      <c r="Q51" s="27">
        <v>16218.7</v>
      </c>
      <c r="R51" s="49">
        <v>0</v>
      </c>
      <c r="T51" s="49">
        <f t="shared" si="2"/>
        <v>0</v>
      </c>
    </row>
    <row r="52" spans="1:23" x14ac:dyDescent="0.25">
      <c r="A52" s="4"/>
      <c r="B52" s="4"/>
      <c r="C52" s="4" t="s">
        <v>47</v>
      </c>
      <c r="D52" s="4"/>
      <c r="E52" s="4"/>
      <c r="F52" s="27">
        <v>4958.4799999999996</v>
      </c>
      <c r="G52" s="11">
        <f t="shared" ref="G52:G53" si="7">(+H52/12)*9</f>
        <v>7500</v>
      </c>
      <c r="H52" s="27">
        <v>10000</v>
      </c>
      <c r="I52" s="11">
        <f t="shared" si="1"/>
        <v>5041.5200000000004</v>
      </c>
      <c r="J52" s="11"/>
      <c r="K52" s="27">
        <v>10000</v>
      </c>
      <c r="L52" s="27">
        <v>6515.78</v>
      </c>
      <c r="M52" s="44">
        <f t="shared" ref="M52:M59" si="8">+F52/K52</f>
        <v>0.49584799999999996</v>
      </c>
      <c r="N52" s="39">
        <f>-M52+0.5</f>
        <v>4.1520000000000445E-3</v>
      </c>
      <c r="O52" s="53"/>
      <c r="Q52" s="27">
        <v>8990.5400000000009</v>
      </c>
      <c r="R52" s="49">
        <v>0</v>
      </c>
      <c r="T52" s="70">
        <f t="shared" si="2"/>
        <v>10000</v>
      </c>
      <c r="V52" s="49">
        <v>10300</v>
      </c>
    </row>
    <row r="53" spans="1:23" x14ac:dyDescent="0.25">
      <c r="A53" s="4"/>
      <c r="B53" s="4"/>
      <c r="C53" s="4" t="s">
        <v>64</v>
      </c>
      <c r="D53" s="4"/>
      <c r="E53" s="4"/>
      <c r="F53" s="27">
        <v>564.46</v>
      </c>
      <c r="G53" s="11">
        <f t="shared" si="7"/>
        <v>375</v>
      </c>
      <c r="H53" s="27">
        <v>500</v>
      </c>
      <c r="I53" s="11">
        <f t="shared" si="1"/>
        <v>-64.460000000000036</v>
      </c>
      <c r="J53" s="11"/>
      <c r="K53" s="27">
        <v>300</v>
      </c>
      <c r="L53" s="27">
        <v>215.47</v>
      </c>
      <c r="M53" s="44">
        <f t="shared" si="8"/>
        <v>1.8815333333333335</v>
      </c>
      <c r="N53" s="39">
        <f>-M53+M$88</f>
        <v>-1.7148666666666668</v>
      </c>
      <c r="Q53" s="27">
        <v>455.47</v>
      </c>
      <c r="R53" s="49">
        <v>0</v>
      </c>
      <c r="T53" s="49">
        <v>1209</v>
      </c>
      <c r="V53" s="49">
        <v>800</v>
      </c>
    </row>
    <row r="54" spans="1:23" x14ac:dyDescent="0.25">
      <c r="A54" s="4"/>
      <c r="B54" s="4"/>
      <c r="C54" s="4" t="s">
        <v>50</v>
      </c>
      <c r="D54" s="4"/>
      <c r="E54" s="4"/>
      <c r="F54" s="27">
        <v>5156.21</v>
      </c>
      <c r="G54" s="27"/>
      <c r="H54" s="27">
        <v>0</v>
      </c>
      <c r="I54" s="11">
        <f t="shared" si="1"/>
        <v>-5156.21</v>
      </c>
      <c r="J54" s="11"/>
      <c r="K54" s="27">
        <v>750</v>
      </c>
      <c r="L54" s="27">
        <v>1202.78</v>
      </c>
      <c r="M54" s="44">
        <f t="shared" si="8"/>
        <v>6.8749466666666663</v>
      </c>
      <c r="N54" s="39">
        <f>-M54+M$88</f>
        <v>-6.7082799999999994</v>
      </c>
      <c r="Q54" s="27">
        <v>3492.93</v>
      </c>
      <c r="R54" s="49">
        <v>392.86</v>
      </c>
      <c r="T54" s="49">
        <v>5156</v>
      </c>
      <c r="V54" s="49">
        <v>5000</v>
      </c>
    </row>
    <row r="55" spans="1:23" x14ac:dyDescent="0.25">
      <c r="A55" s="4"/>
      <c r="B55" s="4"/>
      <c r="C55" s="4" t="s">
        <v>159</v>
      </c>
      <c r="D55" s="4"/>
      <c r="E55" s="4"/>
      <c r="F55" s="27">
        <v>3198.29</v>
      </c>
      <c r="G55" s="11">
        <f>(+H55/12)*9</f>
        <v>31500</v>
      </c>
      <c r="H55" s="27">
        <v>42000</v>
      </c>
      <c r="I55" s="11">
        <f t="shared" si="1"/>
        <v>38801.71</v>
      </c>
      <c r="J55" s="11"/>
      <c r="K55" s="27"/>
      <c r="L55" s="27">
        <v>6886.94</v>
      </c>
      <c r="M55" s="44"/>
      <c r="N55" s="39"/>
      <c r="Q55" s="27">
        <v>34989.67</v>
      </c>
      <c r="R55" s="49">
        <v>0</v>
      </c>
      <c r="T55" s="49">
        <v>20000</v>
      </c>
      <c r="V55" s="49">
        <v>30000</v>
      </c>
    </row>
    <row r="56" spans="1:23" x14ac:dyDescent="0.25">
      <c r="A56" s="4"/>
      <c r="B56" s="4"/>
      <c r="C56" s="4"/>
      <c r="D56" s="4" t="s">
        <v>163</v>
      </c>
      <c r="E56" s="4"/>
      <c r="F56" s="27"/>
      <c r="G56" s="27"/>
      <c r="H56" s="27"/>
      <c r="I56" s="11">
        <f t="shared" si="1"/>
        <v>0</v>
      </c>
      <c r="J56" s="11"/>
      <c r="K56" s="27"/>
      <c r="L56" s="27">
        <v>3750</v>
      </c>
      <c r="M56" s="44"/>
      <c r="N56" s="39"/>
      <c r="Q56" s="27">
        <v>7602.5</v>
      </c>
      <c r="R56" s="49">
        <v>0</v>
      </c>
      <c r="T56" s="49">
        <f t="shared" si="2"/>
        <v>0</v>
      </c>
    </row>
    <row r="57" spans="1:23" x14ac:dyDescent="0.25">
      <c r="A57" s="4"/>
      <c r="B57" s="4"/>
      <c r="C57" s="4" t="s">
        <v>52</v>
      </c>
      <c r="D57" s="4"/>
      <c r="E57" s="4"/>
      <c r="F57" s="27">
        <v>1256.9100000000001</v>
      </c>
      <c r="G57" s="11">
        <f t="shared" ref="G57:G58" si="9">(+H57/12)*9</f>
        <v>2025</v>
      </c>
      <c r="H57" s="27">
        <v>2700</v>
      </c>
      <c r="I57" s="11">
        <f t="shared" si="1"/>
        <v>1443.09</v>
      </c>
      <c r="J57" s="11"/>
      <c r="K57" s="27">
        <v>2600</v>
      </c>
      <c r="L57" s="27">
        <v>1474.5</v>
      </c>
      <c r="M57" s="44">
        <f t="shared" si="8"/>
        <v>0.48342692307692309</v>
      </c>
      <c r="N57" s="39">
        <f>-M57+M$88</f>
        <v>-0.3167602564102564</v>
      </c>
      <c r="Q57" s="27">
        <v>1948.24</v>
      </c>
      <c r="R57" s="49">
        <v>272.93</v>
      </c>
      <c r="T57" s="49">
        <v>1500</v>
      </c>
      <c r="V57" s="49">
        <v>1500</v>
      </c>
    </row>
    <row r="58" spans="1:23" x14ac:dyDescent="0.25">
      <c r="A58" s="4"/>
      <c r="B58" s="4"/>
      <c r="C58" s="4" t="s">
        <v>54</v>
      </c>
      <c r="D58" s="4"/>
      <c r="E58" s="4"/>
      <c r="F58" s="27">
        <v>6936.47</v>
      </c>
      <c r="G58" s="11">
        <f t="shared" si="9"/>
        <v>9000</v>
      </c>
      <c r="H58" s="27">
        <v>12000</v>
      </c>
      <c r="I58" s="11">
        <f t="shared" si="1"/>
        <v>5063.53</v>
      </c>
      <c r="J58" s="11"/>
      <c r="K58" s="27">
        <v>9000</v>
      </c>
      <c r="L58" s="27">
        <v>10319.07</v>
      </c>
      <c r="M58" s="44">
        <f t="shared" si="8"/>
        <v>0.77071888888888895</v>
      </c>
      <c r="N58" s="39">
        <f>-M58+M$88</f>
        <v>-0.60405222222222232</v>
      </c>
      <c r="Q58" s="27">
        <v>11904.68</v>
      </c>
      <c r="R58" s="49">
        <v>2.3199999999999998</v>
      </c>
      <c r="T58" s="49">
        <v>8000</v>
      </c>
      <c r="V58" s="49">
        <v>8000</v>
      </c>
    </row>
    <row r="59" spans="1:23" x14ac:dyDescent="0.25">
      <c r="A59" s="4"/>
      <c r="B59" s="4"/>
      <c r="C59" s="4" t="s">
        <v>37</v>
      </c>
      <c r="D59" s="4"/>
      <c r="E59" s="4"/>
      <c r="F59" s="27">
        <v>2000</v>
      </c>
      <c r="G59" s="27"/>
      <c r="H59" s="27"/>
      <c r="I59" s="11">
        <f t="shared" si="1"/>
        <v>-2000</v>
      </c>
      <c r="J59" s="27"/>
      <c r="K59" s="27">
        <f>21741-18400</f>
        <v>3341</v>
      </c>
      <c r="L59" s="27">
        <f>250+1250</f>
        <v>1500</v>
      </c>
      <c r="M59" s="38">
        <f t="shared" si="8"/>
        <v>0.59862316671655191</v>
      </c>
      <c r="N59" s="39">
        <f>-M59+M$88</f>
        <v>-0.43195650004988528</v>
      </c>
      <c r="Q59" s="27">
        <f>250+2667.5</f>
        <v>2917.5</v>
      </c>
      <c r="R59" s="49">
        <v>1000</v>
      </c>
      <c r="T59" s="49">
        <v>6000</v>
      </c>
      <c r="V59" s="72"/>
    </row>
    <row r="60" spans="1:23" x14ac:dyDescent="0.25">
      <c r="A60" s="4"/>
      <c r="B60" s="4"/>
      <c r="C60" s="4"/>
      <c r="D60" s="4" t="s">
        <v>38</v>
      </c>
      <c r="E60" s="4"/>
      <c r="F60" s="27">
        <v>5300</v>
      </c>
      <c r="G60" s="11">
        <f>(+H60/12)*9</f>
        <v>4050</v>
      </c>
      <c r="H60" s="27">
        <v>5400</v>
      </c>
      <c r="I60" s="11">
        <f t="shared" si="1"/>
        <v>100</v>
      </c>
      <c r="J60" s="11"/>
      <c r="K60" s="27">
        <v>5000</v>
      </c>
      <c r="L60" s="27">
        <v>5300</v>
      </c>
      <c r="M60" s="44">
        <f t="shared" ref="M60:M73" si="10">+F60/K60</f>
        <v>1.06</v>
      </c>
      <c r="N60" s="39">
        <f>-M60+M$88</f>
        <v>-0.89333333333333342</v>
      </c>
      <c r="Q60" s="27">
        <v>5300</v>
      </c>
      <c r="R60" s="49">
        <v>0</v>
      </c>
      <c r="T60" s="49">
        <v>5300</v>
      </c>
      <c r="V60" s="49">
        <v>5400</v>
      </c>
    </row>
    <row r="61" spans="1:23" x14ac:dyDescent="0.25">
      <c r="A61" s="4"/>
      <c r="B61" s="4"/>
      <c r="C61" s="4"/>
      <c r="D61" s="4" t="s">
        <v>184</v>
      </c>
      <c r="E61" s="4"/>
      <c r="F61" s="27">
        <v>1296</v>
      </c>
      <c r="G61" s="27"/>
      <c r="H61" s="27"/>
      <c r="I61" s="11">
        <f t="shared" si="1"/>
        <v>-1296</v>
      </c>
      <c r="J61" s="11"/>
      <c r="K61" s="27"/>
      <c r="L61" s="27"/>
      <c r="M61" s="44"/>
      <c r="N61" s="39"/>
      <c r="Q61" s="27"/>
      <c r="R61" s="49"/>
      <c r="T61" s="49">
        <f>+F61</f>
        <v>1296</v>
      </c>
      <c r="V61" s="72"/>
    </row>
    <row r="62" spans="1:23" x14ac:dyDescent="0.25">
      <c r="A62" s="4"/>
      <c r="B62" s="4"/>
      <c r="C62" s="4"/>
      <c r="D62" s="4" t="s">
        <v>76</v>
      </c>
      <c r="E62" s="4"/>
      <c r="F62" s="27">
        <v>150</v>
      </c>
      <c r="G62" s="11">
        <f t="shared" ref="G62:G64" si="11">(+H62/12)*9</f>
        <v>750</v>
      </c>
      <c r="H62" s="27">
        <v>1000</v>
      </c>
      <c r="I62" s="11">
        <f t="shared" si="1"/>
        <v>850</v>
      </c>
      <c r="J62" s="11"/>
      <c r="K62" s="27">
        <v>1000</v>
      </c>
      <c r="L62" s="27">
        <v>780</v>
      </c>
      <c r="M62" s="44">
        <f t="shared" si="10"/>
        <v>0.15</v>
      </c>
      <c r="N62" s="39">
        <f>-M62+M$88</f>
        <v>1.6666666666666663E-2</v>
      </c>
      <c r="Q62" s="27">
        <v>780</v>
      </c>
      <c r="R62" s="49">
        <v>0</v>
      </c>
      <c r="T62" s="49">
        <v>150</v>
      </c>
      <c r="V62" s="49">
        <v>500</v>
      </c>
    </row>
    <row r="63" spans="1:23" x14ac:dyDescent="0.25">
      <c r="A63" s="4"/>
      <c r="B63" s="4"/>
      <c r="C63" s="4"/>
      <c r="D63" s="4" t="s">
        <v>172</v>
      </c>
      <c r="E63" s="4"/>
      <c r="F63" s="27">
        <v>12653.46</v>
      </c>
      <c r="G63" s="11">
        <f t="shared" si="11"/>
        <v>11250</v>
      </c>
      <c r="H63" s="27">
        <v>15000</v>
      </c>
      <c r="I63" s="11">
        <f t="shared" si="1"/>
        <v>2346.5400000000009</v>
      </c>
      <c r="J63" s="11"/>
      <c r="K63" s="27">
        <v>18400</v>
      </c>
      <c r="L63" s="27">
        <v>10150</v>
      </c>
      <c r="M63" s="44"/>
      <c r="N63" s="39"/>
      <c r="Q63" s="27">
        <v>14050</v>
      </c>
      <c r="R63" s="49">
        <v>2611.7199999999998</v>
      </c>
      <c r="T63" s="49">
        <v>20000</v>
      </c>
      <c r="V63" s="72"/>
      <c r="W63" t="s">
        <v>248</v>
      </c>
    </row>
    <row r="64" spans="1:23" x14ac:dyDescent="0.25">
      <c r="A64" s="4"/>
      <c r="B64" s="4"/>
      <c r="C64" s="4"/>
      <c r="D64" s="4" t="s">
        <v>147</v>
      </c>
      <c r="E64" s="4"/>
      <c r="F64" s="27">
        <v>9840</v>
      </c>
      <c r="G64" s="11">
        <f t="shared" si="11"/>
        <v>9000</v>
      </c>
      <c r="H64" s="27">
        <v>12000</v>
      </c>
      <c r="I64" s="11">
        <f t="shared" si="1"/>
        <v>2160</v>
      </c>
      <c r="J64" s="11"/>
      <c r="K64" s="27"/>
      <c r="L64" s="27">
        <v>2040</v>
      </c>
      <c r="M64" s="44"/>
      <c r="N64" s="39"/>
      <c r="Q64" s="27">
        <v>5310</v>
      </c>
      <c r="R64" s="49">
        <v>1000</v>
      </c>
      <c r="T64" s="49">
        <v>10840</v>
      </c>
      <c r="V64" s="49">
        <v>20000</v>
      </c>
    </row>
    <row r="65" spans="1:23" x14ac:dyDescent="0.25">
      <c r="A65" s="4"/>
      <c r="B65" s="4"/>
      <c r="C65" s="4"/>
      <c r="D65" s="4"/>
      <c r="E65" s="4" t="s">
        <v>208</v>
      </c>
      <c r="F65" s="27"/>
      <c r="G65" s="11"/>
      <c r="H65" s="27"/>
      <c r="I65" s="11"/>
      <c r="J65" s="11"/>
      <c r="K65" s="27"/>
      <c r="L65" s="27"/>
      <c r="M65" s="44"/>
      <c r="N65" s="39"/>
      <c r="Q65" s="27"/>
      <c r="R65" s="49"/>
      <c r="T65" s="49">
        <v>12000</v>
      </c>
      <c r="V65" s="49">
        <v>5000</v>
      </c>
    </row>
    <row r="66" spans="1:23" x14ac:dyDescent="0.25">
      <c r="A66" s="4"/>
      <c r="B66" s="4"/>
      <c r="C66" s="4"/>
      <c r="D66" s="4" t="s">
        <v>150</v>
      </c>
      <c r="E66" s="4"/>
      <c r="F66" s="27">
        <v>1500</v>
      </c>
      <c r="G66" s="27"/>
      <c r="H66" s="27">
        <v>0</v>
      </c>
      <c r="I66" s="11">
        <f t="shared" si="1"/>
        <v>-1500</v>
      </c>
      <c r="J66" s="11"/>
      <c r="K66" s="27">
        <v>11000</v>
      </c>
      <c r="L66" s="27">
        <v>1425.84</v>
      </c>
      <c r="M66" s="44">
        <f t="shared" si="10"/>
        <v>0.13636363636363635</v>
      </c>
      <c r="N66" s="39">
        <f>-M66+M$88</f>
        <v>3.0303030303030304E-2</v>
      </c>
      <c r="Q66" s="27">
        <v>2425.84</v>
      </c>
      <c r="R66" s="49">
        <v>0</v>
      </c>
      <c r="T66" s="11">
        <v>1500</v>
      </c>
      <c r="V66" s="49">
        <v>1500</v>
      </c>
      <c r="W66" t="s">
        <v>246</v>
      </c>
    </row>
    <row r="67" spans="1:23" x14ac:dyDescent="0.25">
      <c r="A67" s="4"/>
      <c r="B67" s="4"/>
      <c r="C67" s="4"/>
      <c r="D67" s="4" t="s">
        <v>156</v>
      </c>
      <c r="E67" s="4"/>
      <c r="F67" s="27">
        <v>2891</v>
      </c>
      <c r="G67" s="11">
        <f t="shared" ref="G67:G70" si="12">(+H67/12)*9</f>
        <v>1125</v>
      </c>
      <c r="H67" s="27">
        <v>1500</v>
      </c>
      <c r="I67" s="11">
        <f t="shared" si="1"/>
        <v>-1391</v>
      </c>
      <c r="J67" s="11"/>
      <c r="K67" s="27"/>
      <c r="L67" s="27">
        <v>1125</v>
      </c>
      <c r="M67" s="44"/>
      <c r="N67" s="39"/>
      <c r="Q67" s="27">
        <v>1125</v>
      </c>
      <c r="R67" s="49">
        <v>0</v>
      </c>
      <c r="T67" s="49">
        <v>5000</v>
      </c>
      <c r="V67" s="49">
        <v>4000</v>
      </c>
    </row>
    <row r="68" spans="1:23" x14ac:dyDescent="0.25">
      <c r="A68" s="4"/>
      <c r="B68" s="4"/>
      <c r="C68" s="4"/>
      <c r="D68" s="4" t="s">
        <v>161</v>
      </c>
      <c r="E68" s="4"/>
      <c r="F68" s="27">
        <v>180</v>
      </c>
      <c r="G68" s="11">
        <f t="shared" si="12"/>
        <v>750</v>
      </c>
      <c r="H68" s="27">
        <v>1000</v>
      </c>
      <c r="I68" s="11">
        <f t="shared" si="1"/>
        <v>820</v>
      </c>
      <c r="J68" s="11"/>
      <c r="K68" s="27"/>
      <c r="L68" s="27">
        <v>930</v>
      </c>
      <c r="M68" s="44"/>
      <c r="N68" s="39"/>
      <c r="Q68" s="27">
        <v>930</v>
      </c>
      <c r="R68" s="49">
        <v>0</v>
      </c>
      <c r="T68" s="49">
        <v>180</v>
      </c>
      <c r="V68" s="49">
        <v>1000</v>
      </c>
    </row>
    <row r="69" spans="1:23" x14ac:dyDescent="0.25">
      <c r="A69" s="4"/>
      <c r="B69" s="4"/>
      <c r="C69" s="4"/>
      <c r="D69" s="4" t="s">
        <v>39</v>
      </c>
      <c r="E69" s="4"/>
      <c r="F69" s="27">
        <v>1024.3</v>
      </c>
      <c r="G69" s="11">
        <f t="shared" si="12"/>
        <v>1500</v>
      </c>
      <c r="H69" s="27">
        <v>2000</v>
      </c>
      <c r="I69" s="11">
        <f t="shared" si="1"/>
        <v>975.7</v>
      </c>
      <c r="J69" s="11"/>
      <c r="K69" s="27">
        <v>2500</v>
      </c>
      <c r="L69" s="27">
        <v>1170</v>
      </c>
      <c r="M69" s="44"/>
      <c r="N69" s="39"/>
      <c r="Q69" s="27">
        <v>1440</v>
      </c>
      <c r="R69" s="49">
        <v>0</v>
      </c>
      <c r="T69" s="49">
        <f t="shared" si="2"/>
        <v>2000</v>
      </c>
      <c r="V69" s="49">
        <v>4000</v>
      </c>
    </row>
    <row r="70" spans="1:23" x14ac:dyDescent="0.25">
      <c r="A70" s="4"/>
      <c r="B70" s="4"/>
      <c r="C70" s="4"/>
      <c r="D70" s="4" t="s">
        <v>138</v>
      </c>
      <c r="E70" s="4"/>
      <c r="F70" s="27">
        <v>3000</v>
      </c>
      <c r="G70" s="11">
        <f t="shared" si="12"/>
        <v>1500</v>
      </c>
      <c r="H70" s="27">
        <v>2000</v>
      </c>
      <c r="I70" s="11">
        <f t="shared" si="1"/>
        <v>-1000</v>
      </c>
      <c r="J70" s="11"/>
      <c r="K70" s="27">
        <v>1500</v>
      </c>
      <c r="L70" s="27">
        <v>1000</v>
      </c>
      <c r="M70" s="44"/>
      <c r="N70" s="39"/>
      <c r="Q70" s="27">
        <v>1500</v>
      </c>
      <c r="R70" s="49">
        <v>1000</v>
      </c>
      <c r="T70" s="49">
        <v>4000</v>
      </c>
      <c r="V70" s="49">
        <v>2500</v>
      </c>
    </row>
    <row r="71" spans="1:23" x14ac:dyDescent="0.25">
      <c r="A71" s="4"/>
      <c r="B71" s="4"/>
      <c r="C71" s="4"/>
      <c r="D71" s="4" t="s">
        <v>202</v>
      </c>
      <c r="E71" s="71"/>
      <c r="F71" s="27">
        <v>4237.5</v>
      </c>
      <c r="G71" s="27"/>
      <c r="H71" s="27"/>
      <c r="I71" s="11"/>
      <c r="J71" s="11"/>
      <c r="K71" s="27"/>
      <c r="L71" s="27"/>
      <c r="M71" s="44"/>
      <c r="N71" s="39"/>
      <c r="Q71" s="27"/>
      <c r="R71" s="49"/>
      <c r="T71" s="49">
        <v>4238</v>
      </c>
      <c r="V71" s="49">
        <v>2500</v>
      </c>
    </row>
    <row r="72" spans="1:23" x14ac:dyDescent="0.25">
      <c r="A72" s="4"/>
      <c r="B72" s="4"/>
      <c r="C72" s="4" t="s">
        <v>99</v>
      </c>
      <c r="D72" s="4"/>
      <c r="E72" s="4"/>
      <c r="F72" s="27">
        <v>306.25</v>
      </c>
      <c r="G72" s="11">
        <f t="shared" ref="G72:G79" si="13">(+H72/12)*9</f>
        <v>1875</v>
      </c>
      <c r="H72" s="27">
        <v>2500</v>
      </c>
      <c r="I72" s="11">
        <f t="shared" si="1"/>
        <v>2193.75</v>
      </c>
      <c r="J72" s="11"/>
      <c r="K72" s="27">
        <v>2500</v>
      </c>
      <c r="L72" s="27">
        <v>0</v>
      </c>
      <c r="M72" s="44"/>
      <c r="N72" s="39"/>
      <c r="Q72" s="27">
        <v>0</v>
      </c>
      <c r="R72" s="49"/>
      <c r="T72" s="49">
        <v>306</v>
      </c>
      <c r="V72" s="49">
        <v>1000</v>
      </c>
    </row>
    <row r="73" spans="1:23" x14ac:dyDescent="0.25">
      <c r="A73" s="4"/>
      <c r="B73" s="4"/>
      <c r="C73" s="4" t="s">
        <v>121</v>
      </c>
      <c r="D73" s="4"/>
      <c r="E73" s="4"/>
      <c r="F73" s="27">
        <v>21060.32</v>
      </c>
      <c r="G73" s="11">
        <f t="shared" si="13"/>
        <v>20826</v>
      </c>
      <c r="H73" s="27">
        <v>27768</v>
      </c>
      <c r="I73" s="11">
        <f t="shared" si="1"/>
        <v>6707.68</v>
      </c>
      <c r="J73" s="11"/>
      <c r="K73" s="27">
        <v>27772</v>
      </c>
      <c r="L73" s="27">
        <v>19216.669999999998</v>
      </c>
      <c r="M73" s="44">
        <f t="shared" si="10"/>
        <v>0.75832925248451677</v>
      </c>
      <c r="N73" s="39">
        <f>-M73+M$88</f>
        <v>-0.59166258581785014</v>
      </c>
      <c r="Q73" s="27">
        <v>26159.63</v>
      </c>
      <c r="R73" s="49">
        <v>2372.1799999999998</v>
      </c>
      <c r="T73" s="70">
        <v>28177</v>
      </c>
      <c r="V73" s="49">
        <v>28881</v>
      </c>
    </row>
    <row r="74" spans="1:23" x14ac:dyDescent="0.25">
      <c r="A74" s="4"/>
      <c r="B74" s="4"/>
      <c r="C74" s="4" t="s">
        <v>97</v>
      </c>
      <c r="D74" s="4"/>
      <c r="E74" s="4"/>
      <c r="F74" s="27">
        <v>40174.89</v>
      </c>
      <c r="G74" s="11">
        <f t="shared" si="13"/>
        <v>30000</v>
      </c>
      <c r="H74" s="27">
        <v>40000</v>
      </c>
      <c r="I74" s="11">
        <f t="shared" si="1"/>
        <v>-174.88999999999942</v>
      </c>
      <c r="J74" s="11"/>
      <c r="K74" s="27">
        <v>34000</v>
      </c>
      <c r="L74" s="27">
        <v>36231.33</v>
      </c>
      <c r="M74" s="44">
        <f t="shared" ref="M74:M78" si="14">+F74/K74</f>
        <v>1.1816144117647058</v>
      </c>
      <c r="N74" s="39">
        <f>-M74+M$88</f>
        <v>-1.0149477450980391</v>
      </c>
      <c r="Q74" s="27">
        <v>36231.33</v>
      </c>
      <c r="R74" s="49">
        <v>0</v>
      </c>
      <c r="T74" s="49">
        <f t="shared" si="2"/>
        <v>40000</v>
      </c>
      <c r="V74" s="49">
        <v>30000</v>
      </c>
    </row>
    <row r="75" spans="1:23" x14ac:dyDescent="0.25">
      <c r="A75" s="4"/>
      <c r="B75" s="4"/>
      <c r="C75" s="4" t="s">
        <v>42</v>
      </c>
      <c r="D75" s="4"/>
      <c r="E75" s="4"/>
      <c r="F75" s="27">
        <v>5626.68</v>
      </c>
      <c r="G75" s="11">
        <f t="shared" si="13"/>
        <v>7875</v>
      </c>
      <c r="H75" s="27">
        <v>10500</v>
      </c>
      <c r="I75" s="11">
        <f t="shared" si="1"/>
        <v>4873.32</v>
      </c>
      <c r="J75" s="11"/>
      <c r="K75" s="27">
        <v>8500</v>
      </c>
      <c r="L75" s="27">
        <v>6896.19</v>
      </c>
      <c r="M75" s="44">
        <f t="shared" si="14"/>
        <v>0.66196235294117656</v>
      </c>
      <c r="N75" s="39">
        <f>-M75+M$88</f>
        <v>-0.49529568627450993</v>
      </c>
      <c r="Q75" s="27">
        <v>8327.66</v>
      </c>
      <c r="R75" s="49">
        <v>753.58</v>
      </c>
      <c r="T75" s="49">
        <v>8000</v>
      </c>
      <c r="V75" s="49">
        <v>7000</v>
      </c>
    </row>
    <row r="76" spans="1:23" x14ac:dyDescent="0.25">
      <c r="A76" s="4"/>
      <c r="B76" s="4"/>
      <c r="C76" s="4" t="s">
        <v>43</v>
      </c>
      <c r="D76" s="4"/>
      <c r="E76" s="4"/>
      <c r="F76" s="27">
        <v>7554.44</v>
      </c>
      <c r="G76" s="11">
        <f t="shared" si="13"/>
        <v>6750</v>
      </c>
      <c r="H76" s="27">
        <v>9000</v>
      </c>
      <c r="I76" s="11">
        <f t="shared" si="1"/>
        <v>1445.5600000000004</v>
      </c>
      <c r="J76" s="11"/>
      <c r="K76" s="27">
        <v>8500</v>
      </c>
      <c r="L76" s="27">
        <v>7198.67</v>
      </c>
      <c r="M76" s="44">
        <f t="shared" si="14"/>
        <v>0.88875764705882343</v>
      </c>
      <c r="N76" s="39">
        <f>-M76+M$88</f>
        <v>-0.7220909803921568</v>
      </c>
      <c r="Q76" s="27">
        <v>9572.7800000000007</v>
      </c>
      <c r="R76" s="49">
        <v>852.64</v>
      </c>
      <c r="T76" s="70">
        <v>10260</v>
      </c>
      <c r="V76" s="49">
        <v>9811</v>
      </c>
    </row>
    <row r="77" spans="1:23" x14ac:dyDescent="0.25">
      <c r="A77" s="4"/>
      <c r="B77" s="4"/>
      <c r="C77" s="4"/>
      <c r="D77" s="4" t="s">
        <v>96</v>
      </c>
      <c r="E77" s="4"/>
      <c r="F77" s="27">
        <v>3011.07</v>
      </c>
      <c r="G77" s="11">
        <f t="shared" si="13"/>
        <v>2250</v>
      </c>
      <c r="H77" s="27">
        <v>3000</v>
      </c>
      <c r="I77" s="11">
        <f t="shared" si="1"/>
        <v>-11.070000000000164</v>
      </c>
      <c r="J77" s="11"/>
      <c r="K77" s="27">
        <v>3000</v>
      </c>
      <c r="L77" s="27">
        <v>4905.08</v>
      </c>
      <c r="M77" s="44"/>
      <c r="N77" s="39"/>
      <c r="Q77" s="27">
        <v>6890.86</v>
      </c>
      <c r="R77" s="49">
        <v>0</v>
      </c>
      <c r="T77" s="49">
        <f t="shared" si="2"/>
        <v>3000</v>
      </c>
      <c r="V77" s="49">
        <v>2950</v>
      </c>
    </row>
    <row r="78" spans="1:23" x14ac:dyDescent="0.25">
      <c r="A78" s="4"/>
      <c r="B78" s="4"/>
      <c r="C78" s="4" t="s">
        <v>65</v>
      </c>
      <c r="D78" s="4"/>
      <c r="E78" s="4"/>
      <c r="F78" s="27">
        <v>14069.76</v>
      </c>
      <c r="G78" s="11">
        <f t="shared" si="13"/>
        <v>16275</v>
      </c>
      <c r="H78" s="27">
        <v>21700</v>
      </c>
      <c r="I78" s="11">
        <f t="shared" si="1"/>
        <v>7630.24</v>
      </c>
      <c r="J78" s="11"/>
      <c r="K78" s="27">
        <v>18000</v>
      </c>
      <c r="L78" s="27">
        <f>12230.22+1359.25</f>
        <v>13589.47</v>
      </c>
      <c r="M78" s="44">
        <f t="shared" si="14"/>
        <v>0.78165333333333331</v>
      </c>
      <c r="N78" s="39">
        <f>-M78+M$88</f>
        <v>-0.61498666666666668</v>
      </c>
      <c r="Q78" s="27">
        <f>1359.25+19798.68</f>
        <v>21157.93</v>
      </c>
      <c r="R78" s="49">
        <v>2475.48</v>
      </c>
      <c r="T78" s="49">
        <f t="shared" si="2"/>
        <v>21700</v>
      </c>
      <c r="V78" s="49">
        <v>12000</v>
      </c>
    </row>
    <row r="79" spans="1:23" x14ac:dyDescent="0.25">
      <c r="A79" s="4"/>
      <c r="B79" s="4"/>
      <c r="C79" s="4"/>
      <c r="D79" s="4" t="s">
        <v>157</v>
      </c>
      <c r="E79" s="4"/>
      <c r="F79" s="27">
        <v>6043.7</v>
      </c>
      <c r="G79" s="11">
        <f t="shared" si="13"/>
        <v>3000</v>
      </c>
      <c r="H79" s="27">
        <v>4000</v>
      </c>
      <c r="I79" s="11">
        <f t="shared" si="1"/>
        <v>-2043.6999999999998</v>
      </c>
      <c r="J79" s="11"/>
      <c r="K79" s="27"/>
      <c r="L79" s="27">
        <v>3132.21</v>
      </c>
      <c r="M79" s="44"/>
      <c r="N79" s="39"/>
      <c r="Q79" s="27">
        <v>3132.21</v>
      </c>
      <c r="R79" s="49">
        <v>493.35</v>
      </c>
      <c r="T79" s="49">
        <v>6044</v>
      </c>
      <c r="V79" s="72"/>
      <c r="W79" t="s">
        <v>248</v>
      </c>
    </row>
    <row r="80" spans="1:23" x14ac:dyDescent="0.25">
      <c r="A80" s="4"/>
      <c r="B80" s="4"/>
      <c r="C80" s="4" t="s">
        <v>98</v>
      </c>
      <c r="D80" s="4"/>
      <c r="E80" s="4"/>
      <c r="F80" s="27">
        <v>38.03</v>
      </c>
      <c r="G80" s="27"/>
      <c r="H80" s="27">
        <v>0</v>
      </c>
      <c r="I80" s="11">
        <f t="shared" si="1"/>
        <v>-38.03</v>
      </c>
      <c r="J80" s="11"/>
      <c r="K80" s="27">
        <v>75</v>
      </c>
      <c r="L80" s="27">
        <v>65.05</v>
      </c>
      <c r="M80" s="44"/>
      <c r="N80" s="39"/>
      <c r="Q80" s="27">
        <v>130.41999999999999</v>
      </c>
      <c r="R80" s="49">
        <v>2.2200000000000002</v>
      </c>
      <c r="T80" s="49">
        <v>100</v>
      </c>
    </row>
    <row r="81" spans="1:22" x14ac:dyDescent="0.25">
      <c r="A81" s="4"/>
      <c r="B81" s="4"/>
      <c r="C81" s="4" t="s">
        <v>44</v>
      </c>
      <c r="D81" s="4"/>
      <c r="E81" s="4"/>
      <c r="F81" s="27"/>
      <c r="G81" s="27"/>
      <c r="H81" s="27"/>
      <c r="I81" s="27"/>
      <c r="J81" s="27"/>
      <c r="K81" s="27"/>
      <c r="L81" s="27"/>
      <c r="M81" s="38"/>
      <c r="N81" s="4"/>
      <c r="Q81" s="27"/>
      <c r="R81" s="49"/>
      <c r="T81" s="49">
        <f t="shared" si="2"/>
        <v>0</v>
      </c>
    </row>
    <row r="82" spans="1:22" x14ac:dyDescent="0.25">
      <c r="A82" s="4"/>
      <c r="B82" s="4"/>
      <c r="C82" s="4"/>
      <c r="D82" s="4" t="s">
        <v>81</v>
      </c>
      <c r="E82" s="4"/>
      <c r="F82" s="27">
        <v>65744.549999999988</v>
      </c>
      <c r="G82" s="11">
        <f t="shared" ref="G82:G83" si="15">(+H82/12)*9</f>
        <v>76570.5</v>
      </c>
      <c r="H82" s="27">
        <v>102094</v>
      </c>
      <c r="I82" s="11">
        <f t="shared" ref="I82:I83" si="16">+H82-F82</f>
        <v>36349.450000000012</v>
      </c>
      <c r="J82" s="11"/>
      <c r="K82" s="27">
        <v>96052</v>
      </c>
      <c r="L82" s="27">
        <f>52504.19+18496.05</f>
        <v>71000.240000000005</v>
      </c>
      <c r="M82" s="44">
        <f t="shared" ref="M82:M83" si="17">+F82/K82</f>
        <v>0.68446830883271548</v>
      </c>
      <c r="N82" s="39">
        <f t="shared" ref="N82:N85" si="18">-M82+M$88</f>
        <v>-0.51780164216604885</v>
      </c>
      <c r="Q82" s="27">
        <f>70276.72+24800.66</f>
        <v>95077.38</v>
      </c>
      <c r="R82" s="49">
        <f>4484.93+3065.09</f>
        <v>7550.02</v>
      </c>
      <c r="T82" s="70">
        <v>103468</v>
      </c>
      <c r="V82" s="49">
        <v>105896</v>
      </c>
    </row>
    <row r="83" spans="1:22" x14ac:dyDescent="0.25">
      <c r="A83" s="4"/>
      <c r="B83" s="4"/>
      <c r="C83" s="4"/>
      <c r="D83" s="4" t="s">
        <v>49</v>
      </c>
      <c r="E83" s="4"/>
      <c r="F83" s="14">
        <v>263646.19</v>
      </c>
      <c r="G83" s="11">
        <f t="shared" si="15"/>
        <v>288033.75</v>
      </c>
      <c r="H83" s="14">
        <v>384045</v>
      </c>
      <c r="I83" s="11">
        <f t="shared" si="16"/>
        <v>120398.81</v>
      </c>
      <c r="J83" s="11"/>
      <c r="K83" s="14">
        <v>326060</v>
      </c>
      <c r="L83" s="11">
        <f>2900+238434.47+2331.93</f>
        <v>243666.4</v>
      </c>
      <c r="M83" s="44">
        <f t="shared" si="17"/>
        <v>0.80858182543090229</v>
      </c>
      <c r="N83" s="39">
        <f t="shared" si="18"/>
        <v>-0.64191515876423566</v>
      </c>
      <c r="Q83" s="11">
        <f>4800+316595.09+107.7+2557.05</f>
        <v>324059.84000000003</v>
      </c>
      <c r="R83" s="49">
        <f>819+38804.51</f>
        <v>39623.51</v>
      </c>
      <c r="T83" s="70">
        <v>382930</v>
      </c>
      <c r="V83" s="49">
        <v>378153</v>
      </c>
    </row>
    <row r="84" spans="1:22" x14ac:dyDescent="0.25">
      <c r="A84" s="4"/>
      <c r="B84" s="4" t="s">
        <v>51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Q84" s="4"/>
      <c r="R84" s="49"/>
    </row>
    <row r="85" spans="1:22" ht="13.8" thickBot="1" x14ac:dyDescent="0.3">
      <c r="A85" s="4"/>
      <c r="B85" s="4"/>
      <c r="C85" s="4"/>
      <c r="D85" s="4"/>
      <c r="E85" s="4"/>
      <c r="F85" s="40">
        <f>SUM(F10:F80)+F82+F83</f>
        <v>520217.06000000006</v>
      </c>
      <c r="G85" s="40">
        <f>SUM(G10:G83)</f>
        <v>623838</v>
      </c>
      <c r="H85" s="40">
        <f>SUM(H10:H83)</f>
        <v>831784</v>
      </c>
      <c r="I85" s="40">
        <f>SUM(I10:I80)+I82+I83</f>
        <v>315804.43999999994</v>
      </c>
      <c r="J85" s="40"/>
      <c r="K85" s="40">
        <f>SUM(K10:K83)</f>
        <v>688950</v>
      </c>
      <c r="L85" s="40">
        <f>SUM(L10:L83)</f>
        <v>502079.87</v>
      </c>
      <c r="M85" s="41">
        <f>+F85/K85</f>
        <v>0.75508681326656513</v>
      </c>
      <c r="N85" s="54">
        <f t="shared" si="18"/>
        <v>-0.5884201465998985</v>
      </c>
      <c r="Q85" s="40">
        <f>SUM(Q10:Q83)</f>
        <v>719183.26</v>
      </c>
      <c r="R85" s="40">
        <f>SUM(R10:R83)</f>
        <v>61909.270000000004</v>
      </c>
      <c r="T85" s="40">
        <f>SUM(T10:T83)</f>
        <v>866954</v>
      </c>
      <c r="V85" s="40">
        <f>+SUM(V10:V83)</f>
        <v>974272</v>
      </c>
    </row>
    <row r="86" spans="1:22" ht="13.8" thickTop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Q86" s="4"/>
    </row>
    <row r="87" spans="1:22" x14ac:dyDescent="0.25">
      <c r="A87" s="4"/>
      <c r="B87" s="4" t="s">
        <v>101</v>
      </c>
      <c r="C87" s="4"/>
      <c r="D87" s="4"/>
      <c r="E87" s="4"/>
      <c r="F87" s="4"/>
      <c r="G87" s="4"/>
      <c r="H87" s="27"/>
      <c r="I87" s="4"/>
      <c r="J87" s="4"/>
      <c r="K87" s="4"/>
      <c r="L87" s="4"/>
      <c r="M87" s="4" t="s">
        <v>84</v>
      </c>
      <c r="N87" s="4"/>
      <c r="Q87" s="4"/>
    </row>
    <row r="88" spans="1:2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L88" s="42"/>
      <c r="M88" s="43">
        <f>2/12</f>
        <v>0.16666666666666666</v>
      </c>
      <c r="N88" s="4"/>
      <c r="Q88" s="42"/>
      <c r="V88" s="49">
        <f>+'Budg comp Inc YTD'!S37-'Budg comp Exp YTD'!V85</f>
        <v>-1384</v>
      </c>
    </row>
    <row r="89" spans="1:22" x14ac:dyDescent="0.25">
      <c r="A89" s="4"/>
      <c r="B89" s="21"/>
      <c r="C89" s="21" t="s">
        <v>162</v>
      </c>
      <c r="D89" s="21"/>
      <c r="E89" s="21"/>
      <c r="F89" s="5"/>
      <c r="G89" s="5"/>
      <c r="H89" s="4"/>
      <c r="I89" s="4"/>
      <c r="J89" s="4"/>
      <c r="K89" s="27"/>
      <c r="L89" s="4"/>
      <c r="M89" s="4"/>
      <c r="N89" s="4"/>
      <c r="Q89" s="4"/>
    </row>
    <row r="90" spans="1:22" x14ac:dyDescent="0.25">
      <c r="A90" s="4"/>
      <c r="B90" s="21"/>
      <c r="C90" s="21" t="s">
        <v>203</v>
      </c>
      <c r="D90" s="21"/>
      <c r="E90" s="21"/>
      <c r="F90" s="5"/>
      <c r="G90" s="5"/>
      <c r="H90" s="4"/>
      <c r="I90" s="4"/>
      <c r="J90" s="4"/>
      <c r="K90" s="27"/>
      <c r="L90" s="4"/>
      <c r="M90" s="4"/>
      <c r="N90" s="4"/>
      <c r="Q90" s="4"/>
    </row>
    <row r="91" spans="1:22" x14ac:dyDescent="0.25">
      <c r="A91" s="4"/>
      <c r="B91" s="21"/>
      <c r="C91" s="21"/>
      <c r="D91" s="21" t="s">
        <v>204</v>
      </c>
      <c r="E91" s="21"/>
      <c r="F91" s="5"/>
      <c r="G91" s="5"/>
      <c r="H91" s="4"/>
      <c r="I91" s="4"/>
      <c r="J91" s="4"/>
      <c r="K91" s="4"/>
      <c r="L91" s="4"/>
      <c r="M91" s="4"/>
      <c r="N91" s="4"/>
      <c r="Q91" s="4"/>
    </row>
    <row r="92" spans="1:22" x14ac:dyDescent="0.25">
      <c r="A92" s="4"/>
      <c r="B92" s="4"/>
      <c r="C92" s="3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Q92" s="4"/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Q93" s="4"/>
    </row>
    <row r="94" spans="1:22" x14ac:dyDescent="0.25">
      <c r="A94" s="4"/>
      <c r="B94" s="4"/>
      <c r="C94" s="4"/>
      <c r="D94" s="4"/>
      <c r="E94" s="75" t="s">
        <v>250</v>
      </c>
      <c r="F94" s="4"/>
      <c r="G94" s="4"/>
      <c r="H94" s="4"/>
      <c r="I94" s="4"/>
      <c r="J94" s="4"/>
      <c r="K94" s="4"/>
      <c r="L94" s="4"/>
      <c r="M94" s="4"/>
      <c r="N94" s="4"/>
      <c r="Q94" s="4"/>
    </row>
    <row r="95" spans="1:2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Q95" s="4"/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Q96" s="4"/>
    </row>
  </sheetData>
  <printOptions horizontalCentered="1"/>
  <pageMargins left="0.75" right="0.75" top="0.75" bottom="0.75" header="0.5" footer="0.5"/>
  <pageSetup scale="7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963F-B00E-4F45-92E6-3DBF6707A337}">
  <dimension ref="B6:D27"/>
  <sheetViews>
    <sheetView workbookViewId="0">
      <selection activeCell="D30" sqref="D30"/>
    </sheetView>
  </sheetViews>
  <sheetFormatPr defaultRowHeight="13.2" x14ac:dyDescent="0.25"/>
  <cols>
    <col min="3" max="3" width="19.33203125" bestFit="1" customWidth="1"/>
  </cols>
  <sheetData>
    <row r="6" spans="2:4" x14ac:dyDescent="0.25">
      <c r="B6" t="s">
        <v>213</v>
      </c>
    </row>
    <row r="7" spans="2:4" x14ac:dyDescent="0.25">
      <c r="C7" t="s">
        <v>214</v>
      </c>
    </row>
    <row r="8" spans="2:4" x14ac:dyDescent="0.25">
      <c r="C8" t="s">
        <v>215</v>
      </c>
    </row>
    <row r="9" spans="2:4" x14ac:dyDescent="0.25">
      <c r="C9" t="s">
        <v>216</v>
      </c>
    </row>
    <row r="10" spans="2:4" x14ac:dyDescent="0.25">
      <c r="C10" t="s">
        <v>217</v>
      </c>
    </row>
    <row r="11" spans="2:4" x14ac:dyDescent="0.25">
      <c r="C11" t="s">
        <v>218</v>
      </c>
    </row>
    <row r="12" spans="2:4" x14ac:dyDescent="0.25">
      <c r="C12" t="s">
        <v>219</v>
      </c>
      <c r="D12">
        <v>2600</v>
      </c>
    </row>
    <row r="13" spans="2:4" x14ac:dyDescent="0.25">
      <c r="B13" t="s">
        <v>220</v>
      </c>
    </row>
    <row r="14" spans="2:4" x14ac:dyDescent="0.25">
      <c r="C14" t="s">
        <v>221</v>
      </c>
      <c r="D14">
        <v>1900</v>
      </c>
    </row>
    <row r="15" spans="2:4" x14ac:dyDescent="0.25">
      <c r="B15" t="s">
        <v>222</v>
      </c>
      <c r="D15">
        <v>10300</v>
      </c>
    </row>
    <row r="16" spans="2:4" x14ac:dyDescent="0.25">
      <c r="B16" t="s">
        <v>223</v>
      </c>
      <c r="D16">
        <v>800</v>
      </c>
    </row>
    <row r="17" spans="2:4" x14ac:dyDescent="0.25">
      <c r="B17" t="s">
        <v>224</v>
      </c>
      <c r="C17" t="s">
        <v>225</v>
      </c>
      <c r="D17">
        <v>28881</v>
      </c>
    </row>
    <row r="18" spans="2:4" x14ac:dyDescent="0.25">
      <c r="B18" t="s">
        <v>226</v>
      </c>
    </row>
    <row r="19" spans="2:4" x14ac:dyDescent="0.25">
      <c r="C19" t="s">
        <v>227</v>
      </c>
      <c r="D19">
        <v>550</v>
      </c>
    </row>
    <row r="20" spans="2:4" x14ac:dyDescent="0.25">
      <c r="C20" t="s">
        <v>228</v>
      </c>
      <c r="D20">
        <v>3921</v>
      </c>
    </row>
    <row r="21" spans="2:4" x14ac:dyDescent="0.25">
      <c r="C21" t="s">
        <v>229</v>
      </c>
      <c r="D21">
        <v>5340</v>
      </c>
    </row>
    <row r="22" spans="2:4" x14ac:dyDescent="0.25">
      <c r="B22" t="s">
        <v>230</v>
      </c>
    </row>
    <row r="23" spans="2:4" x14ac:dyDescent="0.25">
      <c r="C23" t="s">
        <v>231</v>
      </c>
      <c r="D23">
        <v>2400</v>
      </c>
    </row>
    <row r="24" spans="2:4" x14ac:dyDescent="0.25">
      <c r="C24" t="s">
        <v>232</v>
      </c>
      <c r="D24">
        <v>250</v>
      </c>
    </row>
    <row r="25" spans="2:4" x14ac:dyDescent="0.25">
      <c r="B25" t="s">
        <v>233</v>
      </c>
      <c r="C25" t="s">
        <v>234</v>
      </c>
      <c r="D25">
        <v>28929</v>
      </c>
    </row>
    <row r="26" spans="2:4" x14ac:dyDescent="0.25">
      <c r="C26" t="s">
        <v>236</v>
      </c>
      <c r="D26">
        <v>78186</v>
      </c>
    </row>
    <row r="27" spans="2:4" x14ac:dyDescent="0.25">
      <c r="C27" t="s">
        <v>235</v>
      </c>
      <c r="D27">
        <v>378153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4"/>
  <sheetViews>
    <sheetView showZeros="0" zoomScaleNormal="100" workbookViewId="0">
      <selection activeCell="E17" sqref="E17"/>
    </sheetView>
  </sheetViews>
  <sheetFormatPr defaultRowHeight="13.2" x14ac:dyDescent="0.25"/>
  <cols>
    <col min="1" max="1" width="2" customWidth="1"/>
    <col min="2" max="2" width="27.33203125" customWidth="1"/>
    <col min="3" max="3" width="8.109375" customWidth="1"/>
    <col min="4" max="4" width="2.6640625" customWidth="1"/>
    <col min="5" max="5" width="13.6640625" style="5" customWidth="1"/>
    <col min="6" max="6" width="4.5546875" customWidth="1"/>
    <col min="7" max="7" width="2" bestFit="1" customWidth="1"/>
    <col min="8" max="8" width="13.6640625" customWidth="1"/>
    <col min="9" max="9" width="4.5546875" style="63" customWidth="1"/>
    <col min="10" max="10" width="13.6640625" customWidth="1"/>
  </cols>
  <sheetData>
    <row r="1" spans="1:11" ht="15" x14ac:dyDescent="0.25">
      <c r="B1" s="1" t="s">
        <v>0</v>
      </c>
      <c r="C1" s="2"/>
      <c r="D1" s="2"/>
      <c r="E1" s="2"/>
      <c r="F1" s="2"/>
      <c r="G1" s="59"/>
      <c r="H1" s="2"/>
      <c r="I1" s="61"/>
      <c r="J1" s="2"/>
    </row>
    <row r="2" spans="1:11" ht="15" x14ac:dyDescent="0.25">
      <c r="B2" s="1" t="s">
        <v>131</v>
      </c>
      <c r="C2" s="2"/>
      <c r="D2" s="2"/>
      <c r="E2" s="2"/>
      <c r="F2" s="2"/>
      <c r="G2" s="59"/>
      <c r="H2" s="2"/>
      <c r="I2" s="61"/>
      <c r="J2" s="2"/>
    </row>
    <row r="3" spans="1:11" ht="15" x14ac:dyDescent="0.25">
      <c r="B3" s="3">
        <v>43921</v>
      </c>
      <c r="C3" s="2"/>
      <c r="D3" s="2"/>
      <c r="E3" s="2"/>
      <c r="F3" s="2"/>
      <c r="G3" s="59"/>
      <c r="H3" s="2"/>
      <c r="I3" s="61"/>
      <c r="J3" s="2"/>
    </row>
    <row r="4" spans="1:11" x14ac:dyDescent="0.25">
      <c r="B4" s="4"/>
      <c r="C4" s="5"/>
      <c r="D4" s="5"/>
      <c r="F4" s="5"/>
      <c r="H4" s="5"/>
      <c r="I4" s="15"/>
      <c r="J4" s="5"/>
    </row>
    <row r="5" spans="1:11" x14ac:dyDescent="0.25">
      <c r="B5" s="4"/>
      <c r="C5" s="5"/>
      <c r="D5" s="5"/>
      <c r="E5" s="64">
        <v>43921</v>
      </c>
      <c r="F5" s="65"/>
      <c r="G5" s="66"/>
      <c r="H5" s="64">
        <v>43646</v>
      </c>
      <c r="I5" s="67"/>
      <c r="J5" s="64" t="s">
        <v>86</v>
      </c>
    </row>
    <row r="6" spans="1:11" x14ac:dyDescent="0.25">
      <c r="B6" s="6" t="s">
        <v>1</v>
      </c>
      <c r="C6" s="2"/>
      <c r="D6" s="2"/>
      <c r="E6" s="2" t="s">
        <v>71</v>
      </c>
      <c r="F6" s="2" t="s">
        <v>71</v>
      </c>
      <c r="H6" s="2"/>
      <c r="I6" s="61"/>
      <c r="J6" s="2"/>
    </row>
    <row r="7" spans="1:11" x14ac:dyDescent="0.25">
      <c r="B7" s="7" t="s">
        <v>2</v>
      </c>
      <c r="C7" s="8"/>
      <c r="D7" s="8"/>
      <c r="F7" s="5"/>
      <c r="G7" s="8"/>
      <c r="H7" s="5"/>
      <c r="I7" s="15"/>
      <c r="J7" s="5"/>
    </row>
    <row r="8" spans="1:11" x14ac:dyDescent="0.25">
      <c r="B8" s="5" t="s">
        <v>102</v>
      </c>
      <c r="C8" s="8"/>
      <c r="D8" s="8"/>
      <c r="E8" s="9">
        <v>7364.62</v>
      </c>
      <c r="F8" s="5"/>
      <c r="G8" s="8"/>
      <c r="H8" s="9">
        <v>7270.3</v>
      </c>
      <c r="I8" s="15"/>
      <c r="J8" s="9">
        <f t="shared" ref="J8:J14" si="0">+E8-H8</f>
        <v>94.319999999999709</v>
      </c>
    </row>
    <row r="9" spans="1:11" x14ac:dyDescent="0.25">
      <c r="A9" s="51"/>
      <c r="B9" s="5" t="s">
        <v>3</v>
      </c>
      <c r="C9" s="5"/>
      <c r="D9" s="5"/>
      <c r="E9" s="9">
        <v>-719.11</v>
      </c>
      <c r="F9" s="9"/>
      <c r="G9" s="5"/>
      <c r="H9" s="9">
        <v>-719.11</v>
      </c>
      <c r="I9" s="9"/>
      <c r="J9" s="9">
        <f t="shared" si="0"/>
        <v>0</v>
      </c>
      <c r="K9" s="5"/>
    </row>
    <row r="10" spans="1:11" x14ac:dyDescent="0.25">
      <c r="B10" s="5" t="s">
        <v>73</v>
      </c>
      <c r="C10" s="5"/>
      <c r="D10" s="5"/>
      <c r="E10" s="9">
        <v>240</v>
      </c>
      <c r="F10" s="9"/>
      <c r="G10" s="5"/>
      <c r="H10" s="9">
        <v>240</v>
      </c>
      <c r="I10" s="9"/>
      <c r="J10" s="9">
        <f t="shared" si="0"/>
        <v>0</v>
      </c>
      <c r="K10" s="5"/>
    </row>
    <row r="11" spans="1:11" x14ac:dyDescent="0.25">
      <c r="B11" s="5" t="s">
        <v>141</v>
      </c>
      <c r="C11" s="5"/>
      <c r="D11" s="5"/>
      <c r="E11" s="9">
        <v>31328.1</v>
      </c>
      <c r="F11" s="9"/>
      <c r="G11" s="5"/>
      <c r="H11" s="9">
        <v>34076.94</v>
      </c>
      <c r="I11" s="9"/>
      <c r="J11" s="9">
        <f t="shared" si="0"/>
        <v>-2748.8400000000038</v>
      </c>
      <c r="K11" s="5"/>
    </row>
    <row r="12" spans="1:11" x14ac:dyDescent="0.25">
      <c r="B12" s="5" t="s">
        <v>125</v>
      </c>
      <c r="C12" s="5"/>
      <c r="D12" s="5"/>
      <c r="E12" s="9">
        <v>357.94</v>
      </c>
      <c r="F12" s="9"/>
      <c r="G12" s="5"/>
      <c r="H12" s="9">
        <v>355.64</v>
      </c>
      <c r="I12" s="9"/>
      <c r="J12" s="9">
        <f t="shared" si="0"/>
        <v>2.3000000000000114</v>
      </c>
      <c r="K12" s="5"/>
    </row>
    <row r="13" spans="1:11" x14ac:dyDescent="0.25">
      <c r="B13" s="4" t="s">
        <v>4</v>
      </c>
      <c r="C13" s="5"/>
      <c r="D13" s="5"/>
      <c r="E13" s="9">
        <v>254.51</v>
      </c>
      <c r="F13" s="9"/>
      <c r="G13" s="5"/>
      <c r="H13" s="9">
        <v>773.94</v>
      </c>
      <c r="I13" s="9"/>
      <c r="J13" s="9">
        <f t="shared" si="0"/>
        <v>-519.43000000000006</v>
      </c>
      <c r="K13" s="5"/>
    </row>
    <row r="14" spans="1:11" x14ac:dyDescent="0.25">
      <c r="B14" s="4" t="s">
        <v>175</v>
      </c>
      <c r="C14" s="5"/>
      <c r="D14" s="5"/>
      <c r="E14" s="10">
        <v>92932.45</v>
      </c>
      <c r="F14" s="9"/>
      <c r="G14" s="5"/>
      <c r="H14" s="10"/>
      <c r="I14" s="9"/>
      <c r="J14" s="10">
        <f t="shared" si="0"/>
        <v>92932.45</v>
      </c>
      <c r="K14" s="5"/>
    </row>
    <row r="15" spans="1:11" x14ac:dyDescent="0.25">
      <c r="B15" s="5" t="s">
        <v>75</v>
      </c>
      <c r="C15" s="5"/>
      <c r="D15" s="5" t="s">
        <v>5</v>
      </c>
      <c r="E15" s="11">
        <f>SUM(E8:E14)</f>
        <v>131758.51</v>
      </c>
      <c r="F15" s="11"/>
      <c r="G15" s="5" t="s">
        <v>5</v>
      </c>
      <c r="H15" s="11">
        <f>SUM(H8:H13)</f>
        <v>41997.710000000006</v>
      </c>
      <c r="I15" s="9"/>
      <c r="J15" s="11">
        <f>SUM(J8:J14)</f>
        <v>89760.799999999988</v>
      </c>
      <c r="K15" s="5"/>
    </row>
    <row r="16" spans="1:11" x14ac:dyDescent="0.25">
      <c r="B16" s="5"/>
      <c r="C16" s="5"/>
      <c r="D16" s="5"/>
      <c r="E16" s="11"/>
      <c r="F16" s="11"/>
      <c r="G16" s="5"/>
      <c r="H16" s="11"/>
      <c r="I16" s="9"/>
      <c r="J16" s="11"/>
      <c r="K16" s="5"/>
    </row>
    <row r="17" spans="2:11" x14ac:dyDescent="0.25">
      <c r="B17" s="5" t="s">
        <v>6</v>
      </c>
      <c r="C17" s="5"/>
      <c r="D17" s="5"/>
      <c r="E17" s="11"/>
      <c r="F17" s="11"/>
      <c r="G17" s="5"/>
      <c r="H17" s="11"/>
      <c r="I17" s="9"/>
      <c r="J17" s="11"/>
      <c r="K17" s="5"/>
    </row>
    <row r="18" spans="2:11" x14ac:dyDescent="0.25">
      <c r="B18" s="5" t="s">
        <v>7</v>
      </c>
      <c r="C18" s="5"/>
      <c r="D18" s="5"/>
      <c r="E18" s="10">
        <v>84608.04</v>
      </c>
      <c r="F18" s="9"/>
      <c r="G18" s="5"/>
      <c r="H18" s="10">
        <v>105964.03</v>
      </c>
      <c r="I18" s="9"/>
      <c r="J18" s="10">
        <f>+E18-H18</f>
        <v>-21355.990000000005</v>
      </c>
    </row>
    <row r="19" spans="2:11" x14ac:dyDescent="0.25">
      <c r="B19" s="5" t="s">
        <v>8</v>
      </c>
      <c r="C19" s="5"/>
      <c r="D19" s="5" t="s">
        <v>5</v>
      </c>
      <c r="E19" s="10">
        <f>+E18</f>
        <v>84608.04</v>
      </c>
      <c r="F19" s="9"/>
      <c r="G19" s="5" t="s">
        <v>5</v>
      </c>
      <c r="H19" s="10">
        <f>+H18</f>
        <v>105964.03</v>
      </c>
      <c r="I19" s="9"/>
      <c r="J19" s="10">
        <f>+J18</f>
        <v>-21355.990000000005</v>
      </c>
    </row>
    <row r="20" spans="2:11" x14ac:dyDescent="0.25">
      <c r="B20" s="5"/>
      <c r="C20" s="5"/>
      <c r="D20" s="5"/>
      <c r="E20" s="11"/>
      <c r="F20" s="11"/>
      <c r="G20" s="5"/>
      <c r="H20" s="11"/>
      <c r="I20" s="9"/>
      <c r="J20" s="11"/>
    </row>
    <row r="21" spans="2:11" x14ac:dyDescent="0.25">
      <c r="B21" s="4" t="s">
        <v>9</v>
      </c>
      <c r="C21" s="5"/>
      <c r="D21" s="5"/>
      <c r="E21" s="11"/>
      <c r="F21" s="11"/>
      <c r="G21" s="5"/>
      <c r="H21" s="11"/>
      <c r="I21" s="9"/>
      <c r="J21" s="11"/>
    </row>
    <row r="22" spans="2:11" x14ac:dyDescent="0.25">
      <c r="B22" s="5" t="s">
        <v>91</v>
      </c>
      <c r="C22" s="5"/>
      <c r="D22" s="5"/>
      <c r="E22" s="9">
        <v>642.70000000000005</v>
      </c>
      <c r="F22" s="9"/>
      <c r="G22" s="5"/>
      <c r="H22" s="9">
        <v>1013.64</v>
      </c>
      <c r="I22" s="9"/>
      <c r="J22" s="9">
        <f t="shared" ref="J22:J28" si="1">+E22-H22</f>
        <v>-370.93999999999994</v>
      </c>
    </row>
    <row r="23" spans="2:11" x14ac:dyDescent="0.25">
      <c r="B23" s="5" t="s">
        <v>89</v>
      </c>
      <c r="C23" s="5"/>
      <c r="D23" s="5"/>
      <c r="E23" s="9">
        <v>10218</v>
      </c>
      <c r="F23" s="9"/>
      <c r="G23" s="5"/>
      <c r="H23" s="9">
        <v>4949.4799999999996</v>
      </c>
      <c r="I23" s="9"/>
      <c r="J23" s="9">
        <f t="shared" si="1"/>
        <v>5268.52</v>
      </c>
    </row>
    <row r="24" spans="2:11" x14ac:dyDescent="0.25">
      <c r="B24" s="5" t="s">
        <v>123</v>
      </c>
      <c r="C24" s="5"/>
      <c r="D24" s="5"/>
      <c r="E24" s="9">
        <v>61.08</v>
      </c>
      <c r="F24" s="9"/>
      <c r="G24" s="5"/>
      <c r="H24" s="9">
        <v>42.81</v>
      </c>
      <c r="I24" s="9"/>
      <c r="J24" s="9">
        <f t="shared" si="1"/>
        <v>18.269999999999996</v>
      </c>
    </row>
    <row r="25" spans="2:11" x14ac:dyDescent="0.25">
      <c r="B25" s="5" t="s">
        <v>126</v>
      </c>
      <c r="C25" s="5"/>
      <c r="D25" s="5"/>
      <c r="E25" s="9">
        <v>243.72</v>
      </c>
      <c r="F25" s="9"/>
      <c r="G25" s="15"/>
      <c r="H25" s="9">
        <v>243.72</v>
      </c>
      <c r="I25" s="9"/>
      <c r="J25" s="9">
        <f t="shared" si="1"/>
        <v>0</v>
      </c>
    </row>
    <row r="26" spans="2:11" x14ac:dyDescent="0.25">
      <c r="B26" s="5" t="s">
        <v>132</v>
      </c>
      <c r="C26" s="5"/>
      <c r="D26" s="5"/>
      <c r="E26" s="10">
        <v>479.61</v>
      </c>
      <c r="F26" s="9"/>
      <c r="G26" s="5"/>
      <c r="H26" s="10">
        <v>2012.41</v>
      </c>
      <c r="I26" s="9"/>
      <c r="J26" s="10">
        <f t="shared" si="1"/>
        <v>-1532.8000000000002</v>
      </c>
    </row>
    <row r="27" spans="2:11" x14ac:dyDescent="0.25">
      <c r="B27" s="5" t="s">
        <v>10</v>
      </c>
      <c r="C27" s="5"/>
      <c r="D27" s="5" t="s">
        <v>5</v>
      </c>
      <c r="E27" s="11">
        <f>SUM(E22:E26)</f>
        <v>11645.11</v>
      </c>
      <c r="F27" s="11"/>
      <c r="G27" s="5" t="s">
        <v>5</v>
      </c>
      <c r="H27" s="11">
        <f>SUM(H22:H26)</f>
        <v>8262.0600000000013</v>
      </c>
      <c r="I27" s="9"/>
      <c r="J27" s="11">
        <f t="shared" si="1"/>
        <v>3383.0499999999993</v>
      </c>
    </row>
    <row r="28" spans="2:11" x14ac:dyDescent="0.25">
      <c r="B28" s="8"/>
      <c r="C28" s="8"/>
      <c r="D28" s="12"/>
      <c r="E28" s="10"/>
      <c r="F28" s="9"/>
      <c r="G28" s="12"/>
      <c r="H28" s="10"/>
      <c r="I28" s="9"/>
      <c r="J28" s="10">
        <f t="shared" si="1"/>
        <v>0</v>
      </c>
    </row>
    <row r="29" spans="2:11" x14ac:dyDescent="0.25">
      <c r="B29" s="7" t="s">
        <v>11</v>
      </c>
      <c r="C29" s="8"/>
      <c r="D29" s="5" t="s">
        <v>5</v>
      </c>
      <c r="E29" s="13">
        <f>+E27+E19+E15</f>
        <v>228011.66</v>
      </c>
      <c r="F29" s="13"/>
      <c r="G29" s="5" t="s">
        <v>5</v>
      </c>
      <c r="H29" s="13">
        <f>+H27+H19+H15</f>
        <v>156223.79999999999</v>
      </c>
      <c r="I29" s="13"/>
      <c r="J29" s="13">
        <f>+J27+J19+J15</f>
        <v>71787.859999999986</v>
      </c>
    </row>
    <row r="30" spans="2:11" x14ac:dyDescent="0.25">
      <c r="B30" s="8"/>
      <c r="C30" s="8"/>
      <c r="D30" s="12"/>
      <c r="E30" s="14"/>
      <c r="F30" s="14"/>
      <c r="G30" s="12"/>
      <c r="H30" s="14"/>
      <c r="I30" s="14"/>
      <c r="J30" s="14"/>
    </row>
    <row r="31" spans="2:11" x14ac:dyDescent="0.25">
      <c r="B31" s="7" t="s">
        <v>12</v>
      </c>
      <c r="C31" s="8"/>
      <c r="D31" s="8"/>
      <c r="E31" s="11"/>
      <c r="F31" s="11"/>
      <c r="G31" s="8"/>
      <c r="H31" s="11"/>
      <c r="I31" s="9"/>
      <c r="J31" s="11"/>
    </row>
    <row r="32" spans="2:11" x14ac:dyDescent="0.25">
      <c r="B32" s="5" t="s">
        <v>78</v>
      </c>
      <c r="C32" s="5"/>
      <c r="D32" s="5"/>
      <c r="E32" s="11">
        <v>30000</v>
      </c>
      <c r="F32" s="11"/>
      <c r="G32" s="5"/>
      <c r="H32" s="11">
        <v>30000</v>
      </c>
      <c r="I32" s="9"/>
      <c r="J32" s="11">
        <f t="shared" ref="J32:J34" si="2">+E32-H32</f>
        <v>0</v>
      </c>
    </row>
    <row r="33" spans="1:10" x14ac:dyDescent="0.25">
      <c r="B33" s="5" t="s">
        <v>111</v>
      </c>
      <c r="C33" s="5"/>
      <c r="D33" s="5"/>
      <c r="E33" s="11">
        <v>75759.34</v>
      </c>
      <c r="F33" s="11"/>
      <c r="G33" s="5"/>
      <c r="H33" s="11">
        <v>75759.34</v>
      </c>
      <c r="I33" s="9"/>
      <c r="J33" s="11">
        <f t="shared" si="2"/>
        <v>0</v>
      </c>
    </row>
    <row r="34" spans="1:10" x14ac:dyDescent="0.25">
      <c r="B34" s="5" t="s">
        <v>13</v>
      </c>
      <c r="C34" s="5"/>
      <c r="D34" s="5"/>
      <c r="E34" s="10">
        <v>-74173</v>
      </c>
      <c r="F34" s="9"/>
      <c r="G34" s="5"/>
      <c r="H34" s="10">
        <v>-74934.350000000006</v>
      </c>
      <c r="I34" s="9"/>
      <c r="J34" s="10">
        <f t="shared" si="2"/>
        <v>761.35000000000582</v>
      </c>
    </row>
    <row r="35" spans="1:10" x14ac:dyDescent="0.25">
      <c r="B35" s="7" t="s">
        <v>14</v>
      </c>
      <c r="C35" s="8"/>
      <c r="D35" s="5" t="s">
        <v>5</v>
      </c>
      <c r="E35" s="13">
        <f>SUM(E32:E34)</f>
        <v>31586.339999999997</v>
      </c>
      <c r="F35" s="13"/>
      <c r="G35" s="5" t="s">
        <v>5</v>
      </c>
      <c r="H35" s="13">
        <f>SUM(H32:H34)</f>
        <v>30824.989999999991</v>
      </c>
      <c r="I35" s="13"/>
      <c r="J35" s="13">
        <f>SUM(J32:J34)</f>
        <v>761.35000000000582</v>
      </c>
    </row>
    <row r="36" spans="1:10" x14ac:dyDescent="0.25">
      <c r="B36" s="5"/>
      <c r="C36" s="5"/>
      <c r="D36" s="15"/>
      <c r="E36" s="9"/>
      <c r="F36" s="9"/>
      <c r="G36" s="15"/>
      <c r="H36" s="9"/>
      <c r="I36" s="9"/>
      <c r="J36" s="9"/>
    </row>
    <row r="37" spans="1:10" x14ac:dyDescent="0.25">
      <c r="B37" s="7" t="s">
        <v>15</v>
      </c>
      <c r="C37" s="5"/>
      <c r="D37" s="5"/>
      <c r="E37" s="11"/>
      <c r="F37" s="11"/>
      <c r="G37" s="5"/>
      <c r="H37" s="11"/>
      <c r="I37" s="9"/>
      <c r="J37" s="11"/>
    </row>
    <row r="38" spans="1:10" x14ac:dyDescent="0.25">
      <c r="B38" s="5" t="s">
        <v>128</v>
      </c>
      <c r="C38" s="5"/>
      <c r="D38" s="5"/>
      <c r="E38" s="11">
        <v>-25000</v>
      </c>
      <c r="F38" s="11"/>
      <c r="G38" s="5"/>
      <c r="H38" s="11">
        <v>-25000</v>
      </c>
      <c r="I38" s="9"/>
      <c r="J38" s="9">
        <f t="shared" ref="J38:J39" si="3">+E38-H38</f>
        <v>0</v>
      </c>
    </row>
    <row r="39" spans="1:10" x14ac:dyDescent="0.25">
      <c r="B39" s="5" t="s">
        <v>146</v>
      </c>
      <c r="C39" s="5"/>
      <c r="D39" s="5"/>
      <c r="E39" s="14">
        <v>57675.86</v>
      </c>
      <c r="F39" s="14"/>
      <c r="G39" s="15"/>
      <c r="H39" s="14">
        <v>57675.86</v>
      </c>
      <c r="I39" s="14"/>
      <c r="J39" s="9">
        <f t="shared" si="3"/>
        <v>0</v>
      </c>
    </row>
    <row r="40" spans="1:10" x14ac:dyDescent="0.25">
      <c r="B40" s="5"/>
      <c r="C40" s="5"/>
      <c r="D40" s="5"/>
      <c r="E40" s="14"/>
      <c r="F40" s="14"/>
      <c r="G40" s="5"/>
      <c r="H40" s="14"/>
      <c r="I40" s="14"/>
      <c r="J40" s="14"/>
    </row>
    <row r="41" spans="1:10" x14ac:dyDescent="0.25">
      <c r="B41" s="7" t="s">
        <v>16</v>
      </c>
      <c r="C41" s="8"/>
      <c r="D41" s="12"/>
      <c r="E41" s="13">
        <f>SUM(E38:E39)</f>
        <v>32675.86</v>
      </c>
      <c r="F41" s="13"/>
      <c r="G41" s="12"/>
      <c r="H41" s="13">
        <f>SUM(H38:H39)</f>
        <v>32675.86</v>
      </c>
      <c r="I41" s="13"/>
      <c r="J41" s="13">
        <f>SUM(J38:J39)</f>
        <v>0</v>
      </c>
    </row>
    <row r="42" spans="1:10" x14ac:dyDescent="0.25">
      <c r="B42" s="5"/>
      <c r="C42" s="5"/>
      <c r="D42" s="15"/>
      <c r="E42" s="9"/>
      <c r="F42" s="9"/>
      <c r="G42" s="15"/>
      <c r="H42" s="9"/>
      <c r="I42" s="9"/>
      <c r="J42" s="9"/>
    </row>
    <row r="43" spans="1:10" ht="13.8" thickBot="1" x14ac:dyDescent="0.3">
      <c r="B43" s="7" t="s">
        <v>17</v>
      </c>
      <c r="C43" s="8"/>
      <c r="D43" s="16" t="s">
        <v>5</v>
      </c>
      <c r="E43" s="17">
        <f>+E41+E35+E29</f>
        <v>292273.86</v>
      </c>
      <c r="F43" s="17"/>
      <c r="G43" s="16" t="s">
        <v>5</v>
      </c>
      <c r="H43" s="17">
        <f>+H41+H35+H29</f>
        <v>219724.64999999997</v>
      </c>
      <c r="I43" s="13"/>
      <c r="J43" s="17">
        <f>+J41+J35+J29</f>
        <v>72549.209999999992</v>
      </c>
    </row>
    <row r="44" spans="1:10" ht="13.8" thickTop="1" x14ac:dyDescent="0.25">
      <c r="B44" s="5"/>
      <c r="C44" s="5"/>
      <c r="D44" s="5"/>
      <c r="E44" s="11"/>
      <c r="F44" s="11"/>
      <c r="G44" s="5"/>
      <c r="H44" s="11"/>
      <c r="I44" s="9"/>
      <c r="J44" s="11"/>
    </row>
    <row r="45" spans="1:10" x14ac:dyDescent="0.25">
      <c r="B45" s="6" t="s">
        <v>18</v>
      </c>
      <c r="C45" s="2"/>
      <c r="D45" s="2"/>
      <c r="E45" s="18" t="s">
        <v>71</v>
      </c>
      <c r="F45" s="18" t="s">
        <v>71</v>
      </c>
      <c r="G45" s="2" t="s">
        <v>71</v>
      </c>
      <c r="H45" s="18" t="s">
        <v>71</v>
      </c>
      <c r="I45" s="62" t="s">
        <v>71</v>
      </c>
      <c r="J45" s="18" t="s">
        <v>71</v>
      </c>
    </row>
    <row r="46" spans="1:10" x14ac:dyDescent="0.25">
      <c r="B46" s="5"/>
      <c r="C46" s="5"/>
      <c r="D46" s="5"/>
      <c r="E46" s="11"/>
      <c r="F46" s="11"/>
      <c r="G46" s="5"/>
      <c r="H46" s="11"/>
      <c r="I46" s="9"/>
      <c r="J46" s="11"/>
    </row>
    <row r="47" spans="1:10" x14ac:dyDescent="0.25">
      <c r="B47" s="8" t="s">
        <v>19</v>
      </c>
      <c r="C47" s="8"/>
      <c r="D47" s="8"/>
      <c r="E47" s="11"/>
      <c r="F47" s="11"/>
      <c r="G47" s="8"/>
      <c r="H47" s="11"/>
      <c r="I47" s="9"/>
      <c r="J47" s="11"/>
    </row>
    <row r="48" spans="1:10" x14ac:dyDescent="0.25">
      <c r="A48" s="51"/>
      <c r="B48" s="5" t="s">
        <v>20</v>
      </c>
      <c r="C48" s="8"/>
      <c r="D48" s="5"/>
      <c r="E48" s="10">
        <v>14028.95</v>
      </c>
      <c r="F48" s="9"/>
      <c r="G48" s="5"/>
      <c r="H48" s="10">
        <v>49025.17</v>
      </c>
      <c r="I48" s="9"/>
      <c r="J48" s="10">
        <f t="shared" ref="J48" si="4">+E48-H48</f>
        <v>-34996.22</v>
      </c>
    </row>
    <row r="49" spans="2:10" x14ac:dyDescent="0.25">
      <c r="B49" s="5" t="s">
        <v>21</v>
      </c>
      <c r="C49" s="8"/>
      <c r="D49" s="5" t="s">
        <v>5</v>
      </c>
      <c r="E49" s="11">
        <f>+E48</f>
        <v>14028.95</v>
      </c>
      <c r="F49" s="11"/>
      <c r="G49" s="5" t="s">
        <v>5</v>
      </c>
      <c r="H49" s="11">
        <f>+H48</f>
        <v>49025.17</v>
      </c>
      <c r="I49" s="9"/>
      <c r="J49" s="11">
        <f>+J48</f>
        <v>-34996.22</v>
      </c>
    </row>
    <row r="50" spans="2:10" x14ac:dyDescent="0.25">
      <c r="B50" s="5"/>
      <c r="C50" s="8"/>
      <c r="D50" s="5"/>
      <c r="E50" s="11"/>
      <c r="F50" s="11"/>
      <c r="G50" s="5"/>
      <c r="H50" s="11"/>
      <c r="I50" s="9"/>
      <c r="J50" s="11"/>
    </row>
    <row r="51" spans="2:10" x14ac:dyDescent="0.25">
      <c r="B51" s="5" t="s">
        <v>22</v>
      </c>
      <c r="C51" s="8"/>
      <c r="D51" s="5"/>
      <c r="E51" s="11"/>
      <c r="F51" s="11"/>
      <c r="G51" s="5"/>
      <c r="H51" s="11"/>
      <c r="I51" s="9"/>
      <c r="J51" s="11"/>
    </row>
    <row r="52" spans="2:10" x14ac:dyDescent="0.25">
      <c r="B52" s="5" t="s">
        <v>180</v>
      </c>
      <c r="C52" s="8"/>
      <c r="D52" s="5"/>
      <c r="E52" s="11">
        <v>-1052.1400000000001</v>
      </c>
      <c r="F52" s="11"/>
      <c r="G52" s="5"/>
      <c r="H52" s="11"/>
      <c r="I52" s="9"/>
      <c r="J52" s="11">
        <f t="shared" ref="J52:J58" si="5">+E52-H52</f>
        <v>-1052.1400000000001</v>
      </c>
    </row>
    <row r="53" spans="2:10" x14ac:dyDescent="0.25">
      <c r="B53" s="5" t="s">
        <v>168</v>
      </c>
      <c r="C53" s="8"/>
      <c r="D53" s="5"/>
      <c r="E53" s="11">
        <v>9251.77</v>
      </c>
      <c r="F53" s="11"/>
      <c r="G53" s="5"/>
      <c r="H53" s="11">
        <v>9251.77</v>
      </c>
      <c r="I53" s="9"/>
      <c r="J53" s="11">
        <f t="shared" si="5"/>
        <v>0</v>
      </c>
    </row>
    <row r="54" spans="2:10" x14ac:dyDescent="0.25">
      <c r="B54" s="5" t="s">
        <v>23</v>
      </c>
      <c r="C54" s="5"/>
      <c r="D54" s="5"/>
      <c r="E54" s="11">
        <v>28316.98</v>
      </c>
      <c r="F54" s="11"/>
      <c r="G54" s="5"/>
      <c r="H54" s="11">
        <v>27694.38</v>
      </c>
      <c r="I54" s="9"/>
      <c r="J54" s="11">
        <f t="shared" si="5"/>
        <v>622.59999999999854</v>
      </c>
    </row>
    <row r="55" spans="2:10" x14ac:dyDescent="0.25">
      <c r="B55" s="5" t="s">
        <v>90</v>
      </c>
      <c r="C55" s="5"/>
      <c r="D55" s="5"/>
      <c r="E55" s="11">
        <v>52500</v>
      </c>
      <c r="F55" s="11"/>
      <c r="G55" s="5"/>
      <c r="H55" s="11">
        <v>342.82</v>
      </c>
      <c r="I55" s="9"/>
      <c r="J55" s="11">
        <f t="shared" si="5"/>
        <v>52157.18</v>
      </c>
    </row>
    <row r="56" spans="2:10" x14ac:dyDescent="0.25">
      <c r="B56" s="5" t="s">
        <v>77</v>
      </c>
      <c r="C56" s="5"/>
      <c r="D56" s="5"/>
      <c r="E56" s="11">
        <v>1329.3</v>
      </c>
      <c r="F56" s="11"/>
      <c r="G56" s="5"/>
      <c r="H56" s="11">
        <v>1548.7</v>
      </c>
      <c r="I56" s="9"/>
      <c r="J56" s="11">
        <f t="shared" si="5"/>
        <v>-219.40000000000009</v>
      </c>
    </row>
    <row r="57" spans="2:10" x14ac:dyDescent="0.25">
      <c r="B57" s="5" t="s">
        <v>112</v>
      </c>
      <c r="C57" s="5"/>
      <c r="D57" s="5"/>
      <c r="E57" s="27">
        <v>692.09</v>
      </c>
      <c r="F57" s="11"/>
      <c r="G57" s="5"/>
      <c r="H57" s="11">
        <f>-101.41-1939.77</f>
        <v>-2041.18</v>
      </c>
      <c r="I57" s="9"/>
      <c r="J57" s="11">
        <f t="shared" si="5"/>
        <v>2733.27</v>
      </c>
    </row>
    <row r="58" spans="2:10" x14ac:dyDescent="0.25">
      <c r="B58" s="5" t="s">
        <v>24</v>
      </c>
      <c r="C58" s="5"/>
      <c r="D58" s="5"/>
      <c r="E58" s="11">
        <v>3606.3</v>
      </c>
      <c r="F58" s="11"/>
      <c r="G58" s="5"/>
      <c r="H58" s="11">
        <v>3208.3</v>
      </c>
      <c r="I58" s="9"/>
      <c r="J58" s="11">
        <f t="shared" si="5"/>
        <v>398</v>
      </c>
    </row>
    <row r="59" spans="2:10" x14ac:dyDescent="0.25">
      <c r="B59" s="5" t="s">
        <v>25</v>
      </c>
      <c r="C59" s="5"/>
      <c r="D59" s="5" t="s">
        <v>5</v>
      </c>
      <c r="E59" s="19">
        <f>SUM(E52:E58)</f>
        <v>94644.3</v>
      </c>
      <c r="F59" s="9"/>
      <c r="G59" s="5" t="s">
        <v>5</v>
      </c>
      <c r="H59" s="19">
        <f>SUM(H53:H58)</f>
        <v>40004.79</v>
      </c>
      <c r="I59" s="9"/>
      <c r="J59" s="19">
        <f>SUM(J52:J58)</f>
        <v>54639.509999999995</v>
      </c>
    </row>
    <row r="60" spans="2:10" x14ac:dyDescent="0.25">
      <c r="B60" s="5"/>
      <c r="C60" s="5"/>
      <c r="D60" s="15"/>
      <c r="E60" s="9"/>
      <c r="F60" s="9"/>
      <c r="G60" s="15"/>
      <c r="H60" s="9"/>
      <c r="I60" s="9"/>
      <c r="J60" s="9"/>
    </row>
    <row r="61" spans="2:10" x14ac:dyDescent="0.25">
      <c r="B61" s="8" t="s">
        <v>26</v>
      </c>
      <c r="C61" s="8"/>
      <c r="D61" s="5" t="s">
        <v>5</v>
      </c>
      <c r="E61" s="20">
        <f>+E59+E49</f>
        <v>108673.25</v>
      </c>
      <c r="F61" s="13"/>
      <c r="G61" s="5" t="s">
        <v>5</v>
      </c>
      <c r="H61" s="20">
        <f>+H59+H49</f>
        <v>89029.959999999992</v>
      </c>
      <c r="I61" s="13"/>
      <c r="J61" s="20">
        <f>+J59+J49</f>
        <v>19643.289999999994</v>
      </c>
    </row>
    <row r="62" spans="2:10" x14ac:dyDescent="0.25">
      <c r="B62" s="5"/>
      <c r="C62" s="5"/>
      <c r="D62" s="5"/>
      <c r="E62" s="11"/>
      <c r="F62" s="11"/>
      <c r="G62" s="5"/>
      <c r="H62" s="11"/>
      <c r="I62" s="9"/>
      <c r="J62" s="11"/>
    </row>
    <row r="63" spans="2:10" x14ac:dyDescent="0.25">
      <c r="B63" s="8" t="s">
        <v>27</v>
      </c>
      <c r="C63" s="8"/>
      <c r="D63" s="8"/>
      <c r="E63" s="11"/>
      <c r="F63" s="11"/>
      <c r="G63" s="8"/>
      <c r="H63" s="11"/>
      <c r="I63" s="9"/>
      <c r="J63" s="11"/>
    </row>
    <row r="64" spans="2:10" x14ac:dyDescent="0.25">
      <c r="B64" s="5" t="s">
        <v>28</v>
      </c>
      <c r="C64" s="5"/>
      <c r="D64" s="5"/>
      <c r="E64" s="11">
        <f>125643.88+88.02</f>
        <v>125731.90000000001</v>
      </c>
      <c r="F64" s="11"/>
      <c r="G64" s="5"/>
      <c r="H64" s="11">
        <f>94358.01+88.02</f>
        <v>94446.03</v>
      </c>
      <c r="I64" s="9"/>
      <c r="J64" s="11">
        <f>+E64-H64</f>
        <v>31285.87000000001</v>
      </c>
    </row>
    <row r="65" spans="1:10" x14ac:dyDescent="0.25">
      <c r="B65" s="5" t="s">
        <v>74</v>
      </c>
      <c r="C65" s="5"/>
      <c r="D65" s="15"/>
      <c r="E65" s="11">
        <f>+E43-E61-E64</f>
        <v>57868.709999999977</v>
      </c>
      <c r="F65" s="11"/>
      <c r="G65" s="15"/>
      <c r="H65" s="11">
        <v>36248.660000000003</v>
      </c>
      <c r="I65" s="9"/>
      <c r="J65" s="11">
        <f>+E65-H65</f>
        <v>21620.049999999974</v>
      </c>
    </row>
    <row r="66" spans="1:10" x14ac:dyDescent="0.25">
      <c r="B66" s="5"/>
      <c r="C66" s="5"/>
      <c r="D66" s="15"/>
      <c r="E66" s="19"/>
      <c r="F66" s="9"/>
      <c r="G66" s="15"/>
      <c r="H66" s="19"/>
      <c r="I66" s="9"/>
      <c r="J66" s="19"/>
    </row>
    <row r="67" spans="1:10" x14ac:dyDescent="0.25">
      <c r="B67" s="8" t="s">
        <v>29</v>
      </c>
      <c r="C67" s="8"/>
      <c r="D67" s="5" t="s">
        <v>5</v>
      </c>
      <c r="E67" s="20">
        <f>SUM(E64:E65)</f>
        <v>183600.61</v>
      </c>
      <c r="F67" s="13"/>
      <c r="G67" s="5" t="s">
        <v>5</v>
      </c>
      <c r="H67" s="20">
        <f>SUM(H64:H65)</f>
        <v>130694.69</v>
      </c>
      <c r="I67" s="13"/>
      <c r="J67" s="20">
        <f>SUM(J64:J65)</f>
        <v>52905.919999999984</v>
      </c>
    </row>
    <row r="68" spans="1:10" x14ac:dyDescent="0.25">
      <c r="B68" s="5"/>
      <c r="C68" s="5"/>
      <c r="D68" s="5"/>
      <c r="E68" s="11"/>
      <c r="F68" s="11"/>
      <c r="G68" s="5"/>
      <c r="H68" s="11"/>
      <c r="I68" s="9"/>
      <c r="J68" s="11"/>
    </row>
    <row r="69" spans="1:10" ht="13.8" thickBot="1" x14ac:dyDescent="0.3">
      <c r="B69" s="8" t="s">
        <v>30</v>
      </c>
      <c r="C69" s="8"/>
      <c r="D69" s="16" t="s">
        <v>5</v>
      </c>
      <c r="E69" s="17">
        <f>SUM(E61+E67)</f>
        <v>292273.86</v>
      </c>
      <c r="F69" s="17"/>
      <c r="G69" s="16" t="s">
        <v>5</v>
      </c>
      <c r="H69" s="17">
        <f>SUM(H61+H67)</f>
        <v>219724.65</v>
      </c>
      <c r="I69" s="13"/>
      <c r="J69" s="17">
        <f>SUM(J61+J67)</f>
        <v>72549.209999999977</v>
      </c>
    </row>
    <row r="70" spans="1:10" ht="13.8" thickTop="1" x14ac:dyDescent="0.25">
      <c r="B70" s="5"/>
      <c r="C70" s="5"/>
      <c r="D70" s="5"/>
      <c r="E70" s="11"/>
      <c r="F70" s="11"/>
      <c r="G70" s="5"/>
      <c r="H70" s="11"/>
      <c r="I70" s="9"/>
      <c r="J70" s="11"/>
    </row>
    <row r="71" spans="1:10" x14ac:dyDescent="0.25">
      <c r="B71" s="5"/>
      <c r="C71" s="5"/>
      <c r="D71" s="5"/>
      <c r="E71" s="11"/>
      <c r="F71" s="11"/>
      <c r="G71" s="5"/>
      <c r="H71" s="11"/>
      <c r="I71" s="9"/>
      <c r="J71" s="11"/>
    </row>
    <row r="72" spans="1:10" x14ac:dyDescent="0.25">
      <c r="A72" s="51"/>
      <c r="B72" s="52"/>
      <c r="C72" s="5"/>
      <c r="D72" s="5"/>
      <c r="E72" s="11"/>
      <c r="F72" s="11"/>
      <c r="G72" s="5"/>
      <c r="H72" s="11"/>
      <c r="I72" s="9"/>
      <c r="J72" s="11"/>
    </row>
    <row r="73" spans="1:10" x14ac:dyDescent="0.25">
      <c r="B73" s="52" t="s">
        <v>129</v>
      </c>
      <c r="C73" s="5"/>
      <c r="D73" s="5"/>
      <c r="E73" s="11"/>
      <c r="F73" s="11"/>
      <c r="G73" s="5"/>
      <c r="H73" s="11"/>
      <c r="I73" s="9"/>
      <c r="J73" s="11"/>
    </row>
    <row r="74" spans="1:10" x14ac:dyDescent="0.25">
      <c r="B74" s="5"/>
      <c r="C74" s="5"/>
      <c r="D74" s="5"/>
      <c r="E74" s="11"/>
      <c r="F74" s="11"/>
      <c r="G74" s="5"/>
      <c r="H74" s="11"/>
      <c r="I74" s="9"/>
      <c r="J74" s="11"/>
    </row>
    <row r="75" spans="1:10" x14ac:dyDescent="0.25">
      <c r="B75" s="5"/>
      <c r="C75" s="5"/>
      <c r="D75" s="5"/>
      <c r="E75" s="11"/>
      <c r="F75" s="11"/>
      <c r="H75" s="11"/>
      <c r="I75" s="9"/>
      <c r="J75" s="11"/>
    </row>
    <row r="76" spans="1:10" x14ac:dyDescent="0.25">
      <c r="B76" s="5"/>
      <c r="C76" s="5"/>
      <c r="D76" s="5"/>
      <c r="E76" s="11"/>
      <c r="F76" s="11"/>
      <c r="H76" s="11"/>
      <c r="I76" s="9"/>
      <c r="J76" s="11"/>
    </row>
    <row r="77" spans="1:10" x14ac:dyDescent="0.25">
      <c r="B77" s="5"/>
      <c r="C77" s="5"/>
      <c r="D77" s="5"/>
      <c r="E77" s="11"/>
      <c r="F77" s="11"/>
      <c r="H77" s="11"/>
      <c r="I77" s="9"/>
      <c r="J77" s="11"/>
    </row>
    <row r="78" spans="1:10" x14ac:dyDescent="0.25">
      <c r="B78" s="5"/>
      <c r="C78" s="5"/>
      <c r="D78" s="5"/>
      <c r="E78" s="11"/>
      <c r="F78" s="11"/>
      <c r="H78" s="11"/>
      <c r="I78" s="9"/>
      <c r="J78" s="11"/>
    </row>
    <row r="79" spans="1:10" x14ac:dyDescent="0.25">
      <c r="B79" s="5"/>
      <c r="C79" s="5"/>
      <c r="D79" s="5"/>
      <c r="E79" s="11"/>
      <c r="F79" s="11"/>
      <c r="H79" s="11"/>
      <c r="I79" s="9"/>
      <c r="J79" s="11"/>
    </row>
    <row r="80" spans="1:10" x14ac:dyDescent="0.25">
      <c r="B80" s="5"/>
      <c r="C80" s="5"/>
      <c r="D80" s="5"/>
      <c r="E80" s="11"/>
      <c r="F80" s="11"/>
      <c r="H80" s="11"/>
      <c r="I80" s="9"/>
      <c r="J80" s="11"/>
    </row>
    <row r="81" spans="2:10" x14ac:dyDescent="0.25">
      <c r="B81" s="5"/>
      <c r="C81" s="5"/>
      <c r="D81" s="5"/>
      <c r="E81" s="11"/>
      <c r="F81" s="11"/>
      <c r="H81" s="11"/>
      <c r="I81" s="9"/>
      <c r="J81" s="11"/>
    </row>
    <row r="82" spans="2:10" x14ac:dyDescent="0.25">
      <c r="B82" s="5"/>
      <c r="C82" s="5"/>
      <c r="D82" s="5"/>
      <c r="E82" s="11"/>
      <c r="F82" s="11"/>
      <c r="H82" s="11"/>
      <c r="I82" s="9"/>
      <c r="J82" s="11"/>
    </row>
    <row r="83" spans="2:10" x14ac:dyDescent="0.25">
      <c r="B83" s="5"/>
      <c r="C83" s="5"/>
      <c r="D83" s="5"/>
      <c r="E83" s="11"/>
      <c r="F83" s="11"/>
      <c r="H83" s="11"/>
      <c r="I83" s="9"/>
      <c r="J83" s="11"/>
    </row>
    <row r="84" spans="2:10" x14ac:dyDescent="0.25">
      <c r="B84" s="5"/>
      <c r="C84" s="5"/>
      <c r="D84" s="5"/>
      <c r="E84" s="11"/>
      <c r="F84" s="11"/>
      <c r="H84" s="11"/>
      <c r="I84" s="9"/>
      <c r="J84" s="11"/>
    </row>
  </sheetData>
  <printOptions horizontalCentered="1"/>
  <pageMargins left="0.75" right="0.75" top="0.75" bottom="0.75" header="0.5" footer="0.5"/>
  <pageSetup scale="73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26909175AAA42881D656D32C2C149" ma:contentTypeVersion="5" ma:contentTypeDescription="Create a new document." ma:contentTypeScope="" ma:versionID="465221636f915c526ebddb1f45db608e">
  <xsd:schema xmlns:xsd="http://www.w3.org/2001/XMLSchema" xmlns:xs="http://www.w3.org/2001/XMLSchema" xmlns:p="http://schemas.microsoft.com/office/2006/metadata/properties" xmlns:ns2="05bc671b-8549-4e2e-8ae5-713fcd7e25f2" targetNamespace="http://schemas.microsoft.com/office/2006/metadata/properties" ma:root="true" ma:fieldsID="4ebc1553a113e9c3598a4ee7103ba6a1" ns2:_="">
    <xsd:import namespace="05bc671b-8549-4e2e-8ae5-713fcd7e25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c671b-8549-4e2e-8ae5-713fcd7e2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BEBAD-EF2A-4F1D-AA0A-CDB357D7F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71CF92-44AB-4C74-9644-913B35F44AF3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05bc671b-8549-4e2e-8ae5-713fcd7e25f2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70EB2B-7711-4655-B852-5499B9973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c671b-8549-4e2e-8ae5-713fcd7e2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 of Income</vt:lpstr>
      <vt:lpstr>Budg comp Inc YTD</vt:lpstr>
      <vt:lpstr>Budg comp Exp YTD</vt:lpstr>
      <vt:lpstr>deductions</vt:lpstr>
      <vt:lpstr>Balance sheet</vt:lpstr>
      <vt:lpstr>'Balance sheet'!Print_Area</vt:lpstr>
      <vt:lpstr>'Budg comp Exp YTD'!Print_Area</vt:lpstr>
      <vt:lpstr>'Budg comp Inc YTD'!Print_Area</vt:lpstr>
      <vt:lpstr>'St of Income'!Print_Area</vt:lpstr>
    </vt:vector>
  </TitlesOfParts>
  <Company>NAMI 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Ezzell</dc:creator>
  <cp:lastModifiedBy>David Gumina</cp:lastModifiedBy>
  <cp:lastPrinted>2020-02-06T23:09:16Z</cp:lastPrinted>
  <dcterms:created xsi:type="dcterms:W3CDTF">2012-03-01T21:38:04Z</dcterms:created>
  <dcterms:modified xsi:type="dcterms:W3CDTF">2020-06-18T20:44:22Z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0x0101004ED26909175AAA42881D656D32C2C149</vt:lpwstr>
  </property>
  <property fmtid="{D5CDD505-2E9C-101B-9397-08002B2CF9AE}" pid="3" name="Order">
    <vt:r8>312800</vt:r8>
  </property>
</Properties>
</file>