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8680" yWindow="-120" windowWidth="29040" windowHeight="15840"/>
  </bookViews>
  <sheets>
    <sheet name="2021" sheetId="2" r:id="rId1"/>
    <sheet name="Sheet2" sheetId="6" state="hidden" r:id="rId2"/>
    <sheet name="Sheet1" sheetId="5" state="hidden" r:id="rId3"/>
    <sheet name="COOCOSCOL" sheetId="4" state="hidden" r:id="rId4"/>
    <sheet name="break even" sheetId="7" state="hidden" r:id="rId5"/>
    <sheet name="break even just basic retail" sheetId="8" state="hidden" r:id="rId6"/>
  </sheets>
  <externalReferences>
    <externalReference r:id="rId7"/>
    <externalReference r:id="rId8"/>
    <externalReference r:id="rId9"/>
  </externalReferences>
  <definedNames>
    <definedName name="_xlnm.Print_Area" localSheetId="0">'2021'!$A$1:$K$109</definedName>
    <definedName name="_xlnm.Print_Area" localSheetId="1">Sheet2!$A$1:$R$17</definedName>
    <definedName name="_xlnm.Print_Titles" localSheetId="0">'2021'!$A:$A,'2021'!$1:$5</definedName>
    <definedName name="_xlnm.Print_Titles" localSheetId="1">Sheet2!$A:$C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6" i="2" l="1"/>
  <c r="K107" i="2" s="1"/>
  <c r="K104" i="2"/>
  <c r="K103" i="2"/>
  <c r="K83" i="2"/>
  <c r="K57" i="2"/>
  <c r="K41" i="2"/>
  <c r="K37" i="2"/>
  <c r="K22" i="2"/>
  <c r="K15" i="2"/>
  <c r="XEQ106" i="2"/>
  <c r="XEQ107" i="2" s="1"/>
  <c r="XEQ104" i="2"/>
  <c r="XEQ103" i="2"/>
  <c r="XEQ88" i="2"/>
  <c r="XEQ82" i="2"/>
  <c r="XEQ83" i="2" s="1"/>
  <c r="XEQ74" i="2"/>
  <c r="XEQ64" i="2"/>
  <c r="XEQ53" i="2"/>
  <c r="XEQ57" i="2" s="1"/>
  <c r="XEQ41" i="2"/>
  <c r="XEQ37" i="2"/>
  <c r="XEQ43" i="2" s="1"/>
  <c r="XEQ34" i="2"/>
  <c r="XEQ22" i="2"/>
  <c r="XEQ15" i="2"/>
  <c r="K30" i="2" l="1"/>
  <c r="XEQ30" i="2"/>
  <c r="XEQ45" i="2" s="1"/>
  <c r="XEQ97" i="2" s="1"/>
  <c r="XEQ99" i="2" s="1"/>
  <c r="K95" i="2"/>
  <c r="XEQ95" i="2"/>
  <c r="K43" i="2"/>
  <c r="U8" i="2"/>
  <c r="X8" i="2"/>
  <c r="W8" i="2"/>
  <c r="V8" i="2"/>
  <c r="K45" i="2" l="1"/>
  <c r="K97" i="2" s="1"/>
  <c r="K99" i="2" s="1"/>
  <c r="V19" i="2"/>
  <c r="U19" i="2"/>
  <c r="U18" i="2"/>
  <c r="F30" i="4" l="1"/>
  <c r="U20" i="2"/>
  <c r="E34" i="4" l="1"/>
  <c r="F31" i="4"/>
  <c r="V20" i="2"/>
  <c r="U50" i="2" l="1"/>
  <c r="V50" i="2" s="1"/>
  <c r="W50" i="2" s="1"/>
  <c r="X50" i="2" s="1"/>
  <c r="R3" i="4"/>
  <c r="W20" i="2"/>
  <c r="U54" i="2"/>
  <c r="V54" i="2" s="1"/>
  <c r="W54" i="2" s="1"/>
  <c r="X54" i="2" s="1"/>
  <c r="X88" i="2"/>
  <c r="U90" i="2"/>
  <c r="U66" i="2"/>
  <c r="Y56" i="2"/>
  <c r="L37" i="2"/>
  <c r="U29" i="2"/>
  <c r="V29" i="2" s="1"/>
  <c r="W29" i="2" s="1"/>
  <c r="X29" i="2" s="1"/>
  <c r="Y19" i="2"/>
  <c r="Y18" i="2"/>
  <c r="W22" i="2"/>
  <c r="V22" i="2"/>
  <c r="U22" i="2"/>
  <c r="L22" i="2"/>
  <c r="L15" i="2"/>
  <c r="X13" i="2"/>
  <c r="W13" i="2"/>
  <c r="V13" i="2"/>
  <c r="U13" i="2"/>
  <c r="U10" i="2"/>
  <c r="X10" i="2"/>
  <c r="W10" i="2"/>
  <c r="V10" i="2"/>
  <c r="U11" i="2"/>
  <c r="X11" i="2"/>
  <c r="W11" i="2"/>
  <c r="V11" i="2"/>
  <c r="U12" i="2"/>
  <c r="X12" i="2"/>
  <c r="W12" i="2"/>
  <c r="V12" i="2"/>
  <c r="U9" i="2"/>
  <c r="U51" i="2" s="1"/>
  <c r="X9" i="2"/>
  <c r="X51" i="2" s="1"/>
  <c r="W9" i="2"/>
  <c r="W51" i="2" s="1"/>
  <c r="V9" i="2"/>
  <c r="V51" i="2" s="1"/>
  <c r="L30" i="2" l="1"/>
  <c r="X20" i="2"/>
  <c r="Y20" i="2" s="1"/>
  <c r="Y22" i="2" s="1"/>
  <c r="W79" i="2"/>
  <c r="X15" i="2"/>
  <c r="V15" i="2"/>
  <c r="Y51" i="2"/>
  <c r="Z51" i="2" s="1"/>
  <c r="U15" i="2"/>
  <c r="Y54" i="2"/>
  <c r="Z54" i="2" s="1"/>
  <c r="W15" i="2"/>
  <c r="Y11" i="2"/>
  <c r="Y13" i="2"/>
  <c r="Y29" i="2"/>
  <c r="Y10" i="2"/>
  <c r="Y12" i="2"/>
  <c r="Y9" i="2"/>
  <c r="Y8" i="2"/>
  <c r="X22" i="2" l="1"/>
  <c r="Y50" i="2"/>
  <c r="Z50" i="2" l="1"/>
  <c r="H74" i="4"/>
  <c r="G71" i="2"/>
  <c r="G72" i="2"/>
  <c r="F72" i="2" s="1"/>
  <c r="G68" i="2"/>
  <c r="G67" i="2"/>
  <c r="I40" i="2"/>
  <c r="U40" i="2" s="1"/>
  <c r="H35" i="2"/>
  <c r="G35" i="2" s="1"/>
  <c r="U35" i="2" s="1"/>
  <c r="U34" i="2"/>
  <c r="G28" i="2"/>
  <c r="U28" i="2" s="1"/>
  <c r="U27" i="2"/>
  <c r="U26" i="2"/>
  <c r="G25" i="2"/>
  <c r="U25" i="2" s="1"/>
  <c r="O30" i="4"/>
  <c r="U30" i="2" l="1"/>
  <c r="V28" i="2"/>
  <c r="W28" i="2" s="1"/>
  <c r="X28" i="2" s="1"/>
  <c r="V35" i="2"/>
  <c r="W35" i="2" s="1"/>
  <c r="X35" i="2" s="1"/>
  <c r="V26" i="2"/>
  <c r="W26" i="2" s="1"/>
  <c r="X26" i="2" s="1"/>
  <c r="V40" i="2"/>
  <c r="U41" i="2"/>
  <c r="V27" i="2"/>
  <c r="W27" i="2" s="1"/>
  <c r="X27" i="2" s="1"/>
  <c r="Y27" i="2"/>
  <c r="G27" i="2"/>
  <c r="G40" i="2"/>
  <c r="H40" i="2" s="1"/>
  <c r="V34" i="2"/>
  <c r="I30" i="4"/>
  <c r="Q30" i="4"/>
  <c r="Q29" i="4"/>
  <c r="O24" i="4"/>
  <c r="I56" i="2"/>
  <c r="Z56" i="2" s="1"/>
  <c r="Y14" i="2"/>
  <c r="Y15" i="2" s="1"/>
  <c r="AA22" i="2" s="1"/>
  <c r="I14" i="2"/>
  <c r="G14" i="2" s="1"/>
  <c r="Y26" i="2" l="1"/>
  <c r="Y28" i="2"/>
  <c r="Y35" i="2"/>
  <c r="W40" i="2"/>
  <c r="V41" i="2"/>
  <c r="W34" i="2"/>
  <c r="Q31" i="4"/>
  <c r="Q23" i="4"/>
  <c r="U77" i="2"/>
  <c r="Y77" i="2" s="1"/>
  <c r="G77" i="2"/>
  <c r="U67" i="2"/>
  <c r="I41" i="2"/>
  <c r="G8" i="2"/>
  <c r="Q45" i="4"/>
  <c r="U81" i="2"/>
  <c r="Q43" i="4"/>
  <c r="G80" i="2"/>
  <c r="X34" i="2" l="1"/>
  <c r="X40" i="2"/>
  <c r="W41" i="2"/>
  <c r="G81" i="2"/>
  <c r="Q35" i="4"/>
  <c r="V29" i="4"/>
  <c r="R20" i="4" s="1"/>
  <c r="F19" i="4" s="1"/>
  <c r="V25" i="4"/>
  <c r="R16" i="4" s="1"/>
  <c r="F15" i="4" s="1"/>
  <c r="V26" i="4"/>
  <c r="V21" i="4"/>
  <c r="R12" i="4" s="1"/>
  <c r="F11" i="4" s="1"/>
  <c r="V18" i="4"/>
  <c r="V12" i="4"/>
  <c r="X55" i="2" l="1"/>
  <c r="W55" i="2"/>
  <c r="U55" i="2"/>
  <c r="V55" i="2"/>
  <c r="X41" i="2"/>
  <c r="Y40" i="2"/>
  <c r="V16" i="4"/>
  <c r="I15" i="2"/>
  <c r="Y34" i="2"/>
  <c r="W30" i="4"/>
  <c r="F20" i="4" s="1"/>
  <c r="F21" i="4" s="1"/>
  <c r="W22" i="4"/>
  <c r="F12" i="4" s="1"/>
  <c r="F13" i="4" s="1"/>
  <c r="W26" i="4"/>
  <c r="F16" i="4" s="1"/>
  <c r="F17" i="4" s="1"/>
  <c r="V6" i="4"/>
  <c r="G26" i="2"/>
  <c r="Y55" i="2" l="1"/>
  <c r="Z55" i="2" s="1"/>
  <c r="R8" i="4"/>
  <c r="F7" i="4" s="1"/>
  <c r="W18" i="4"/>
  <c r="F8" i="4" s="1"/>
  <c r="R4" i="4"/>
  <c r="F3" i="4" s="1"/>
  <c r="W12" i="4"/>
  <c r="F4" i="4" s="1"/>
  <c r="R15" i="2"/>
  <c r="R22" i="2"/>
  <c r="N25" i="2"/>
  <c r="Q25" i="2" s="1"/>
  <c r="R25" i="2"/>
  <c r="N26" i="2"/>
  <c r="Q26" i="2" s="1"/>
  <c r="R26" i="2"/>
  <c r="N27" i="2"/>
  <c r="Q27" i="2" s="1"/>
  <c r="R27" i="2"/>
  <c r="N28" i="2"/>
  <c r="Q28" i="2" s="1"/>
  <c r="R28" i="2"/>
  <c r="N29" i="2"/>
  <c r="Q29" i="2" s="1"/>
  <c r="R29" i="2"/>
  <c r="M30" i="2"/>
  <c r="N30" i="2" s="1"/>
  <c r="O30" i="2"/>
  <c r="O45" i="2" s="1"/>
  <c r="P30" i="2"/>
  <c r="P45" i="2" s="1"/>
  <c r="N34" i="2"/>
  <c r="Q34" i="2" s="1"/>
  <c r="R34" i="2"/>
  <c r="N35" i="2"/>
  <c r="Q35" i="2" s="1"/>
  <c r="R35" i="2"/>
  <c r="N36" i="2"/>
  <c r="Q36" i="2" s="1"/>
  <c r="R36" i="2"/>
  <c r="M37" i="2"/>
  <c r="O37" i="2"/>
  <c r="P37" i="2"/>
  <c r="N40" i="2"/>
  <c r="Q40" i="2" s="1"/>
  <c r="Q41" i="2" s="1"/>
  <c r="R40" i="2"/>
  <c r="R41" i="2" s="1"/>
  <c r="M41" i="2"/>
  <c r="N66" i="2"/>
  <c r="Q66" i="2" s="1"/>
  <c r="R66" i="2"/>
  <c r="N67" i="2"/>
  <c r="Q67" i="2" s="1"/>
  <c r="R67" i="2"/>
  <c r="N68" i="2"/>
  <c r="Q68" i="2" s="1"/>
  <c r="R68" i="2"/>
  <c r="N77" i="2"/>
  <c r="Q77" i="2" s="1"/>
  <c r="R77" i="2"/>
  <c r="N78" i="2"/>
  <c r="Q78" i="2" s="1"/>
  <c r="R78" i="2"/>
  <c r="N79" i="2"/>
  <c r="Q79" i="2" s="1"/>
  <c r="R79" i="2"/>
  <c r="N80" i="2"/>
  <c r="Q80" i="2" s="1"/>
  <c r="R80" i="2"/>
  <c r="N81" i="2"/>
  <c r="Q81" i="2"/>
  <c r="R81" i="2"/>
  <c r="N82" i="2"/>
  <c r="O82" i="2"/>
  <c r="O83" i="2" s="1"/>
  <c r="O95" i="2" s="1"/>
  <c r="P82" i="2"/>
  <c r="P83" i="2" s="1"/>
  <c r="P95" i="2" s="1"/>
  <c r="R82" i="2"/>
  <c r="M83" i="2"/>
  <c r="M95" i="2" s="1"/>
  <c r="N90" i="2"/>
  <c r="Q90" i="2" s="1"/>
  <c r="R90" i="2"/>
  <c r="N91" i="2"/>
  <c r="Q91" i="2" s="1"/>
  <c r="R91" i="2"/>
  <c r="N92" i="2"/>
  <c r="Q92" i="2"/>
  <c r="R92" i="2"/>
  <c r="N93" i="2"/>
  <c r="O93" i="2"/>
  <c r="P93" i="2"/>
  <c r="R93" i="2"/>
  <c r="L88" i="2"/>
  <c r="L83" i="2"/>
  <c r="N84" i="2" s="1"/>
  <c r="L74" i="2"/>
  <c r="R74" i="2" s="1"/>
  <c r="L64" i="2"/>
  <c r="N64" i="2" s="1"/>
  <c r="L57" i="2"/>
  <c r="N57" i="2" s="1"/>
  <c r="Q57" i="2" s="1"/>
  <c r="N15" i="2"/>
  <c r="Q15" i="2" s="1"/>
  <c r="P97" i="2" l="1"/>
  <c r="Q93" i="2"/>
  <c r="N88" i="2"/>
  <c r="Q88" i="2" s="1"/>
  <c r="Y88" i="2"/>
  <c r="Z88" i="2" s="1"/>
  <c r="R37" i="2"/>
  <c r="R43" i="2" s="1"/>
  <c r="Q82" i="2"/>
  <c r="Q83" i="2" s="1"/>
  <c r="M43" i="2"/>
  <c r="M45" i="2" s="1"/>
  <c r="M97" i="2" s="1"/>
  <c r="F9" i="4"/>
  <c r="R83" i="2"/>
  <c r="Q37" i="2"/>
  <c r="Q43" i="2" s="1"/>
  <c r="R30" i="2"/>
  <c r="F5" i="4"/>
  <c r="Q64" i="2"/>
  <c r="R45" i="2"/>
  <c r="O97" i="2"/>
  <c r="R88" i="2"/>
  <c r="N74" i="2"/>
  <c r="Q74" i="2" s="1"/>
  <c r="N22" i="2"/>
  <c r="Q22" i="2" s="1"/>
  <c r="Q30" i="2" s="1"/>
  <c r="Q45" i="2" s="1"/>
  <c r="N83" i="2"/>
  <c r="Q84" i="2" s="1"/>
  <c r="L95" i="2"/>
  <c r="N96" i="2" s="1"/>
  <c r="U92" i="2"/>
  <c r="Q95" i="2" l="1"/>
  <c r="Q97" i="2" s="1"/>
  <c r="N95" i="2"/>
  <c r="Q96" i="2" s="1"/>
  <c r="C60" i="4" l="1"/>
  <c r="G90" i="2" l="1"/>
  <c r="G87" i="2"/>
  <c r="T90" i="2"/>
  <c r="M23" i="8" l="1"/>
  <c r="N23" i="8" l="1"/>
  <c r="F15" i="8"/>
  <c r="H13" i="8"/>
  <c r="F5" i="8"/>
  <c r="I15" i="8" s="1"/>
  <c r="F3" i="8"/>
  <c r="I13" i="8" s="1"/>
  <c r="J13" i="8" s="1"/>
  <c r="K13" i="8" s="1"/>
  <c r="M33" i="7"/>
  <c r="N33" i="7" s="1"/>
  <c r="O33" i="7" s="1"/>
  <c r="P33" i="7" s="1"/>
  <c r="Q33" i="7" s="1"/>
  <c r="R33" i="7" s="1"/>
  <c r="S33" i="7" s="1"/>
  <c r="T33" i="7" s="1"/>
  <c r="F18" i="8" l="1"/>
  <c r="H15" i="8"/>
  <c r="H3" i="8"/>
  <c r="O23" i="8"/>
  <c r="P23" i="8" s="1"/>
  <c r="Q23" i="8" s="1"/>
  <c r="R23" i="8" s="1"/>
  <c r="S23" i="8" s="1"/>
  <c r="T23" i="8" s="1"/>
  <c r="H5" i="8"/>
  <c r="H7" i="8" s="1"/>
  <c r="I7" i="8" s="1"/>
  <c r="I18" i="8" s="1"/>
  <c r="J15" i="8" l="1"/>
  <c r="K15" i="8" s="1"/>
  <c r="H18" i="8"/>
  <c r="J18" i="8" l="1"/>
  <c r="K18" i="8" s="1"/>
  <c r="N24" i="8" s="1"/>
  <c r="O24" i="8" l="1"/>
  <c r="P24" i="8" s="1"/>
  <c r="Q24" i="8" s="1"/>
  <c r="R24" i="8" s="1"/>
  <c r="S24" i="8" s="1"/>
  <c r="T24" i="8" s="1"/>
  <c r="H26" i="7" l="1"/>
  <c r="H24" i="7"/>
  <c r="H22" i="7"/>
  <c r="H18" i="7"/>
  <c r="F20" i="7"/>
  <c r="F28" i="7" s="1"/>
  <c r="F11" i="7"/>
  <c r="I26" i="7" s="1"/>
  <c r="F9" i="7"/>
  <c r="H9" i="7" s="1"/>
  <c r="F7" i="7"/>
  <c r="H7" i="7" s="1"/>
  <c r="F5" i="7"/>
  <c r="F3" i="7"/>
  <c r="I18" i="7" s="1"/>
  <c r="H5" i="7" l="1"/>
  <c r="J18" i="7"/>
  <c r="K18" i="7" s="1"/>
  <c r="H20" i="7"/>
  <c r="H28" i="7" s="1"/>
  <c r="J26" i="7"/>
  <c r="K26" i="7" s="1"/>
  <c r="H3" i="7"/>
  <c r="I22" i="7"/>
  <c r="J22" i="7" s="1"/>
  <c r="K22" i="7" s="1"/>
  <c r="I24" i="7"/>
  <c r="J24" i="7" s="1"/>
  <c r="K24" i="7" s="1"/>
  <c r="I20" i="7"/>
  <c r="J20" i="7" s="1"/>
  <c r="K20" i="7" s="1"/>
  <c r="H11" i="7"/>
  <c r="O13" i="6"/>
  <c r="H12" i="7" l="1"/>
  <c r="I12" i="7" s="1"/>
  <c r="I28" i="7" s="1"/>
  <c r="J28" i="7" s="1"/>
  <c r="K28" i="7" s="1"/>
  <c r="N34" i="7" s="1"/>
  <c r="O34" i="7" s="1"/>
  <c r="P34" i="7" s="1"/>
  <c r="Q34" i="7" s="1"/>
  <c r="R34" i="7" s="1"/>
  <c r="S34" i="7" s="1"/>
  <c r="T34" i="7" s="1"/>
  <c r="E10" i="6"/>
  <c r="O7" i="6"/>
  <c r="E17" i="6" l="1"/>
  <c r="G17" i="6" s="1"/>
  <c r="H17" i="6" s="1"/>
  <c r="I17" i="6" s="1"/>
  <c r="J17" i="6" s="1"/>
  <c r="K17" i="6" s="1"/>
  <c r="L17" i="6" s="1"/>
  <c r="M17" i="6" s="1"/>
  <c r="R16" i="6"/>
  <c r="E11" i="6"/>
  <c r="R6" i="6"/>
  <c r="R10" i="6" s="1"/>
  <c r="V90" i="2"/>
  <c r="T92" i="2"/>
  <c r="T66" i="2"/>
  <c r="V66" i="2" s="1"/>
  <c r="L41" i="2"/>
  <c r="N41" i="2" s="1"/>
  <c r="N37" i="2"/>
  <c r="W90" i="2" l="1"/>
  <c r="X90" i="2" s="1"/>
  <c r="W66" i="2"/>
  <c r="X66" i="2" s="1"/>
  <c r="Y66" i="2"/>
  <c r="Z66" i="2" s="1"/>
  <c r="T77" i="2"/>
  <c r="T26" i="2"/>
  <c r="O5" i="6"/>
  <c r="V92" i="2"/>
  <c r="L43" i="2"/>
  <c r="Y90" i="2" l="1"/>
  <c r="Z90" i="2" s="1"/>
  <c r="N43" i="2"/>
  <c r="N46" i="2" s="1"/>
  <c r="L45" i="2"/>
  <c r="L97" i="2" s="1"/>
  <c r="N98" i="2" s="1"/>
  <c r="W92" i="2"/>
  <c r="X92" i="2" s="1"/>
  <c r="N45" i="2"/>
  <c r="Z77" i="2"/>
  <c r="Y92" i="2" l="1"/>
  <c r="Z92" i="2" s="1"/>
  <c r="Q46" i="2"/>
  <c r="N97" i="2"/>
  <c r="Q98" i="2" s="1"/>
  <c r="H11" i="5" l="1"/>
  <c r="H6" i="5"/>
  <c r="F90" i="2" l="1"/>
  <c r="G73" i="4"/>
  <c r="F73" i="4"/>
  <c r="H73" i="4" s="1"/>
  <c r="G91" i="2"/>
  <c r="H66" i="4"/>
  <c r="H63" i="4"/>
  <c r="G63" i="4"/>
  <c r="F63" i="4"/>
  <c r="E63" i="4"/>
  <c r="C49" i="4"/>
  <c r="C53" i="4"/>
  <c r="C54" i="4" s="1"/>
  <c r="C57" i="4" s="1"/>
  <c r="G43" i="4"/>
  <c r="I43" i="4" s="1"/>
  <c r="G42" i="4"/>
  <c r="F43" i="4"/>
  <c r="F42" i="4"/>
  <c r="I42" i="4" s="1"/>
  <c r="T29" i="2"/>
  <c r="G41" i="2"/>
  <c r="U93" i="2" l="1"/>
  <c r="G93" i="2"/>
  <c r="F93" i="2" s="1"/>
  <c r="C56" i="4"/>
  <c r="C58" i="4" s="1"/>
  <c r="H68" i="4"/>
  <c r="T68" i="2"/>
  <c r="U68" i="2"/>
  <c r="V68" i="2" s="1"/>
  <c r="T91" i="2"/>
  <c r="U91" i="2"/>
  <c r="V91" i="2" s="1"/>
  <c r="W91" i="2" s="1"/>
  <c r="X91" i="2" s="1"/>
  <c r="G29" i="2"/>
  <c r="T93" i="2"/>
  <c r="H80" i="2"/>
  <c r="T80" i="2"/>
  <c r="H81" i="2"/>
  <c r="T81" i="2"/>
  <c r="H77" i="2"/>
  <c r="E31" i="4"/>
  <c r="O20" i="4"/>
  <c r="Q20" i="4" s="1"/>
  <c r="O8" i="4"/>
  <c r="Q8" i="4" s="1"/>
  <c r="O4" i="4"/>
  <c r="Q4" i="4" s="1"/>
  <c r="G36" i="2"/>
  <c r="Y91" i="2" l="1"/>
  <c r="Z91" i="2" s="1"/>
  <c r="Q7" i="4"/>
  <c r="W68" i="2"/>
  <c r="X68" i="2" s="1"/>
  <c r="V81" i="2"/>
  <c r="V80" i="2"/>
  <c r="V93" i="2"/>
  <c r="H8" i="2"/>
  <c r="Q19" i="4"/>
  <c r="G66" i="2"/>
  <c r="W93" i="2" l="1"/>
  <c r="X93" i="2" s="1"/>
  <c r="W81" i="2"/>
  <c r="X81" i="2" s="1"/>
  <c r="Y81" i="2"/>
  <c r="Z81" i="2" s="1"/>
  <c r="W80" i="2"/>
  <c r="X80" i="2" s="1"/>
  <c r="Y80" i="2"/>
  <c r="Z80" i="2" s="1"/>
  <c r="Y68" i="2"/>
  <c r="Z68" i="2" s="1"/>
  <c r="Y93" i="2" l="1"/>
  <c r="Z93" i="2" s="1"/>
  <c r="X64" i="2"/>
  <c r="U64" i="2"/>
  <c r="G56" i="2"/>
  <c r="G55" i="2"/>
  <c r="O12" i="4"/>
  <c r="Q12" i="4" s="1"/>
  <c r="Q39" i="4" s="1"/>
  <c r="G60" i="2"/>
  <c r="G61" i="2"/>
  <c r="G19" i="2"/>
  <c r="G18" i="2"/>
  <c r="G12" i="2"/>
  <c r="V64" i="2" l="1"/>
  <c r="Y64" i="2" s="1"/>
  <c r="Q11" i="4"/>
  <c r="G51" i="2"/>
  <c r="Q9" i="4"/>
  <c r="G20" i="2"/>
  <c r="G22" i="2" s="1"/>
  <c r="I22" i="2"/>
  <c r="Z22" i="2" s="1"/>
  <c r="H12" i="2"/>
  <c r="G11" i="2"/>
  <c r="G10" i="2"/>
  <c r="G9" i="2"/>
  <c r="R64" i="2" l="1"/>
  <c r="Q13" i="4"/>
  <c r="Q21" i="4"/>
  <c r="G50" i="2"/>
  <c r="M8" i="4"/>
  <c r="M24" i="4"/>
  <c r="M26" i="4"/>
  <c r="E4" i="4"/>
  <c r="E3" i="4" s="1"/>
  <c r="Q3" i="4" s="1"/>
  <c r="Q5" i="4" s="1"/>
  <c r="E24" i="4"/>
  <c r="E20" i="4"/>
  <c r="E16" i="4"/>
  <c r="E12" i="4"/>
  <c r="E8" i="4"/>
  <c r="I24" i="4"/>
  <c r="I12" i="4"/>
  <c r="I16" i="4"/>
  <c r="I8" i="4"/>
  <c r="I4" i="4"/>
  <c r="F86" i="2"/>
  <c r="E33" i="4" l="1"/>
  <c r="Q24" i="4"/>
  <c r="K12" i="4"/>
  <c r="L12" i="4" s="1"/>
  <c r="K24" i="4"/>
  <c r="L24" i="4" s="1"/>
  <c r="U78" i="2"/>
  <c r="T78" i="2"/>
  <c r="V78" i="2"/>
  <c r="X78" i="2"/>
  <c r="W78" i="2"/>
  <c r="G78" i="2"/>
  <c r="H78" i="2" s="1"/>
  <c r="K16" i="4"/>
  <c r="L16" i="4" s="1"/>
  <c r="O16" i="4"/>
  <c r="V52" i="2"/>
  <c r="U52" i="2"/>
  <c r="W52" i="2"/>
  <c r="X52" i="2"/>
  <c r="T64" i="2"/>
  <c r="G52" i="2"/>
  <c r="G54" i="2"/>
  <c r="K4" i="4"/>
  <c r="L4" i="4" s="1"/>
  <c r="K8" i="4"/>
  <c r="L8" i="4" s="1"/>
  <c r="Q40" i="4" l="1"/>
  <c r="Q25" i="4"/>
  <c r="Y78" i="2"/>
  <c r="Z78" i="2" s="1"/>
  <c r="U79" i="2"/>
  <c r="V79" i="2"/>
  <c r="X79" i="2"/>
  <c r="Y52" i="2"/>
  <c r="Q16" i="4"/>
  <c r="Q15" i="4"/>
  <c r="Z64" i="2"/>
  <c r="D106" i="2"/>
  <c r="D107" i="2" s="1"/>
  <c r="D104" i="2"/>
  <c r="D103" i="2"/>
  <c r="G79" i="2" l="1"/>
  <c r="H79" i="2" s="1"/>
  <c r="T79" i="2"/>
  <c r="I83" i="2"/>
  <c r="Y79" i="2"/>
  <c r="Z79" i="2" s="1"/>
  <c r="Q17" i="4"/>
  <c r="Z52" i="2"/>
  <c r="T41" i="2"/>
  <c r="Y41" i="2" s="1"/>
  <c r="Z41" i="2" s="1"/>
  <c r="G73" i="2"/>
  <c r="T67" i="2"/>
  <c r="T82" i="2" l="1"/>
  <c r="T83" i="2" s="1"/>
  <c r="U82" i="2"/>
  <c r="U53" i="2"/>
  <c r="W53" i="2"/>
  <c r="W57" i="2" s="1"/>
  <c r="X53" i="2"/>
  <c r="X57" i="2" s="1"/>
  <c r="V53" i="2"/>
  <c r="V57" i="2" s="1"/>
  <c r="I57" i="2"/>
  <c r="G74" i="2"/>
  <c r="V67" i="2"/>
  <c r="G88" i="2"/>
  <c r="U36" i="2"/>
  <c r="T28" i="2"/>
  <c r="T27" i="2"/>
  <c r="T25" i="2"/>
  <c r="U83" i="2" l="1"/>
  <c r="V82" i="2"/>
  <c r="V36" i="2"/>
  <c r="U37" i="2"/>
  <c r="U43" i="2" s="1"/>
  <c r="U45" i="2" s="1"/>
  <c r="T74" i="2"/>
  <c r="U74" i="2"/>
  <c r="V74" i="2" s="1"/>
  <c r="Y53" i="2"/>
  <c r="U57" i="2"/>
  <c r="Y58" i="2" s="1"/>
  <c r="W67" i="2"/>
  <c r="X67" i="2" s="1"/>
  <c r="T30" i="2"/>
  <c r="B8" i="2"/>
  <c r="Y67" i="2" l="1"/>
  <c r="Z67" i="2" s="1"/>
  <c r="W82" i="2"/>
  <c r="V83" i="2"/>
  <c r="W36" i="2"/>
  <c r="V37" i="2"/>
  <c r="Z53" i="2"/>
  <c r="Y57" i="2"/>
  <c r="W74" i="2"/>
  <c r="X74" i="2" s="1"/>
  <c r="V25" i="2"/>
  <c r="D53" i="2"/>
  <c r="G53" i="2" s="1"/>
  <c r="Y74" i="2" l="1"/>
  <c r="Z74" i="2" s="1"/>
  <c r="X82" i="2"/>
  <c r="X83" i="2" s="1"/>
  <c r="W83" i="2"/>
  <c r="X36" i="2"/>
  <c r="X37" i="2" s="1"/>
  <c r="W37" i="2"/>
  <c r="Y36" i="2"/>
  <c r="Y37" i="2" s="1"/>
  <c r="Z57" i="2"/>
  <c r="V30" i="2"/>
  <c r="W25" i="2"/>
  <c r="W30" i="2" s="1"/>
  <c r="D82" i="2"/>
  <c r="D34" i="2"/>
  <c r="G34" i="2" s="1"/>
  <c r="Y82" i="2" l="1"/>
  <c r="Y83" i="2" s="1"/>
  <c r="Y95" i="2" s="1"/>
  <c r="Y84" i="2"/>
  <c r="G82" i="2"/>
  <c r="G83" i="2" s="1"/>
  <c r="Y43" i="2"/>
  <c r="X25" i="2"/>
  <c r="X30" i="2" s="1"/>
  <c r="G37" i="2"/>
  <c r="G43" i="2" s="1"/>
  <c r="I37" i="2"/>
  <c r="Z37" i="2" s="1"/>
  <c r="D83" i="2"/>
  <c r="B93" i="2"/>
  <c r="B91" i="2"/>
  <c r="B77" i="2"/>
  <c r="B66" i="2"/>
  <c r="D88" i="2"/>
  <c r="D74" i="2"/>
  <c r="D64" i="2"/>
  <c r="D57" i="2"/>
  <c r="D41" i="2"/>
  <c r="D37" i="2"/>
  <c r="D22" i="2"/>
  <c r="F79" i="2" s="1"/>
  <c r="D15" i="2"/>
  <c r="B40" i="2"/>
  <c r="B29" i="2"/>
  <c r="B28" i="2"/>
  <c r="B27" i="2"/>
  <c r="B18" i="2"/>
  <c r="B14" i="2"/>
  <c r="B13" i="2"/>
  <c r="B12" i="2"/>
  <c r="B11" i="2"/>
  <c r="B10" i="2"/>
  <c r="Z82" i="2" l="1"/>
  <c r="F57" i="2"/>
  <c r="H82" i="2"/>
  <c r="Y25" i="2"/>
  <c r="Y30" i="2" s="1"/>
  <c r="Y45" i="2" s="1"/>
  <c r="Y98" i="2" s="1"/>
  <c r="I43" i="2"/>
  <c r="X43" i="2"/>
  <c r="X45" i="2" s="1"/>
  <c r="V43" i="2"/>
  <c r="V45" i="2" s="1"/>
  <c r="W43" i="2"/>
  <c r="W45" i="2" s="1"/>
  <c r="T37" i="2"/>
  <c r="F88" i="2"/>
  <c r="H22" i="2"/>
  <c r="D95" i="2"/>
  <c r="B80" i="2"/>
  <c r="B71" i="2"/>
  <c r="B81" i="2"/>
  <c r="B79" i="2"/>
  <c r="B67" i="2"/>
  <c r="B72" i="2"/>
  <c r="B90" i="2"/>
  <c r="B73" i="2"/>
  <c r="B68" i="2"/>
  <c r="B82" i="2"/>
  <c r="B78" i="2"/>
  <c r="D30" i="2"/>
  <c r="D43" i="2"/>
  <c r="H43" i="2" s="1"/>
  <c r="B19" i="2"/>
  <c r="B9" i="2"/>
  <c r="B20" i="2"/>
  <c r="Y46" i="2" l="1"/>
  <c r="T43" i="2"/>
  <c r="D45" i="2"/>
  <c r="B25" i="2"/>
  <c r="Z43" i="2" l="1"/>
  <c r="T45" i="2"/>
  <c r="D97" i="2"/>
  <c r="D99" i="2" l="1"/>
  <c r="B74" i="2"/>
  <c r="B83" i="2"/>
  <c r="B64" i="2"/>
  <c r="B57" i="2"/>
  <c r="B22" i="2"/>
  <c r="B88" i="2" l="1"/>
  <c r="B95" i="2"/>
  <c r="B43" i="2"/>
  <c r="B15" i="2" l="1"/>
  <c r="B26" i="2"/>
  <c r="B30" i="2"/>
  <c r="B97" i="2" l="1"/>
  <c r="B45" i="2"/>
  <c r="I20" i="4" l="1"/>
  <c r="K20" i="4" s="1"/>
  <c r="L20" i="4" s="1"/>
  <c r="G13" i="2"/>
  <c r="H9" i="2" l="1"/>
  <c r="I95" i="2"/>
  <c r="K26" i="4"/>
  <c r="K27" i="4" s="1"/>
  <c r="H14" i="2"/>
  <c r="Z15" i="2" l="1"/>
  <c r="T57" i="2"/>
  <c r="T95" i="2" s="1"/>
  <c r="T97" i="2" s="1"/>
  <c r="G15" i="2"/>
  <c r="G57" i="2"/>
  <c r="Z58" i="2" s="1"/>
  <c r="U95" i="2" l="1"/>
  <c r="U97" i="2" s="1"/>
  <c r="W95" i="2"/>
  <c r="W97" i="2" s="1"/>
  <c r="V95" i="2"/>
  <c r="V97" i="2" s="1"/>
  <c r="X95" i="2"/>
  <c r="R57" i="2"/>
  <c r="R95" i="2" s="1"/>
  <c r="R97" i="2" s="1"/>
  <c r="Q99" i="2" s="1"/>
  <c r="G30" i="2"/>
  <c r="H15" i="2"/>
  <c r="I30" i="2"/>
  <c r="I45" i="2" s="1"/>
  <c r="G62" i="2"/>
  <c r="G64" i="2" s="1"/>
  <c r="Z30" i="2" l="1"/>
  <c r="X97" i="2"/>
  <c r="Y97" i="2" s="1"/>
  <c r="Y96" i="2"/>
  <c r="G95" i="2"/>
  <c r="G45" i="2"/>
  <c r="I97" i="2"/>
  <c r="Z45" i="2" l="1"/>
  <c r="AA46" i="2"/>
  <c r="Z97" i="2" l="1"/>
  <c r="Z95" i="2"/>
  <c r="I99" i="2"/>
  <c r="H14" i="5"/>
  <c r="H16" i="5" s="1"/>
  <c r="G97" i="2" l="1"/>
  <c r="I98" i="2" s="1"/>
  <c r="L8" i="6"/>
  <c r="J8" i="6"/>
  <c r="I100" i="2" l="1"/>
  <c r="G99" i="2"/>
  <c r="Q11" i="8"/>
  <c r="Q16" i="7"/>
  <c r="S11" i="8"/>
  <c r="S16" i="7"/>
  <c r="L10" i="6"/>
  <c r="J10" i="6"/>
  <c r="M8" i="6"/>
  <c r="K8" i="6"/>
  <c r="T11" i="8" l="1"/>
  <c r="T16" i="7"/>
  <c r="S26" i="7"/>
  <c r="S22" i="7"/>
  <c r="S24" i="7"/>
  <c r="S18" i="7"/>
  <c r="S28" i="7"/>
  <c r="S30" i="7" s="1"/>
  <c r="S20" i="7"/>
  <c r="R11" i="8"/>
  <c r="R16" i="7"/>
  <c r="S13" i="8"/>
  <c r="S15" i="8"/>
  <c r="S18" i="8"/>
  <c r="S20" i="8" s="1"/>
  <c r="Q18" i="7"/>
  <c r="Q26" i="7"/>
  <c r="Q24" i="7"/>
  <c r="Q28" i="7"/>
  <c r="Q30" i="7" s="1"/>
  <c r="Q20" i="7"/>
  <c r="Q22" i="7"/>
  <c r="Q13" i="8"/>
  <c r="Q15" i="8"/>
  <c r="Q18" i="8"/>
  <c r="Q20" i="8" s="1"/>
  <c r="M10" i="6"/>
  <c r="K10" i="6"/>
  <c r="R26" i="7" l="1"/>
  <c r="R24" i="7"/>
  <c r="R22" i="7"/>
  <c r="R20" i="7"/>
  <c r="R28" i="7"/>
  <c r="R30" i="7" s="1"/>
  <c r="R18" i="7"/>
  <c r="T26" i="7"/>
  <c r="T20" i="7"/>
  <c r="T24" i="7"/>
  <c r="T22" i="7"/>
  <c r="T28" i="7"/>
  <c r="T30" i="7" s="1"/>
  <c r="T18" i="7"/>
  <c r="R13" i="8"/>
  <c r="R15" i="8"/>
  <c r="R18" i="8"/>
  <c r="R20" i="8" s="1"/>
  <c r="T13" i="8"/>
  <c r="T15" i="8"/>
  <c r="T18" i="8"/>
  <c r="T20" i="8" s="1"/>
  <c r="I8" i="6"/>
  <c r="P11" i="8" l="1"/>
  <c r="P16" i="7"/>
  <c r="I10" i="6"/>
  <c r="P18" i="7" l="1"/>
  <c r="P28" i="7"/>
  <c r="P30" i="7" s="1"/>
  <c r="P24" i="7"/>
  <c r="P26" i="7"/>
  <c r="P22" i="7"/>
  <c r="P20" i="7"/>
  <c r="P13" i="8"/>
  <c r="P15" i="8"/>
  <c r="P18" i="8"/>
  <c r="P20" i="8" s="1"/>
  <c r="H8" i="6"/>
  <c r="O11" i="8" l="1"/>
  <c r="O16" i="7"/>
  <c r="H10" i="6"/>
  <c r="O26" i="7" l="1"/>
  <c r="O18" i="7"/>
  <c r="O24" i="7"/>
  <c r="O20" i="7"/>
  <c r="O22" i="7"/>
  <c r="O28" i="7"/>
  <c r="O30" i="7" s="1"/>
  <c r="O13" i="8"/>
  <c r="O15" i="8"/>
  <c r="O18" i="8"/>
  <c r="O20" i="8" s="1"/>
  <c r="G8" i="6"/>
  <c r="N11" i="8" l="1"/>
  <c r="N16" i="7"/>
  <c r="O8" i="6"/>
  <c r="G10" i="6"/>
  <c r="N18" i="7" l="1"/>
  <c r="N28" i="7"/>
  <c r="N30" i="7" s="1"/>
  <c r="N22" i="7"/>
  <c r="N26" i="7"/>
  <c r="N20" i="7"/>
  <c r="N24" i="7"/>
  <c r="N13" i="8"/>
  <c r="N15" i="8"/>
  <c r="N18" i="8"/>
  <c r="G11" i="6"/>
  <c r="O11" i="6"/>
  <c r="O10" i="6"/>
  <c r="H19" i="5" s="1"/>
  <c r="H21" i="5" s="1"/>
  <c r="O31" i="8" l="1"/>
  <c r="N31" i="8"/>
  <c r="N20" i="8"/>
  <c r="H11" i="6"/>
  <c r="I11" i="6" s="1"/>
  <c r="J11" i="6" s="1"/>
  <c r="K11" i="6" s="1"/>
  <c r="L11" i="6" s="1"/>
  <c r="M11" i="6" s="1"/>
  <c r="O14" i="6" s="1"/>
  <c r="G14" i="6"/>
  <c r="N32" i="8" l="1"/>
  <c r="N34" i="8" s="1"/>
  <c r="O32" i="8"/>
  <c r="O34" i="8" s="1"/>
  <c r="O35" i="8" l="1"/>
</calcChain>
</file>

<file path=xl/comments1.xml><?xml version="1.0" encoding="utf-8"?>
<comments xmlns="http://schemas.openxmlformats.org/spreadsheetml/2006/main">
  <authors>
    <author>Author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$133k Bajo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 xml:space="preserve">Author:$110,114 
</t>
        </r>
        <r>
          <rPr>
            <sz val="9"/>
            <color indexed="81"/>
            <rFont val="Tahoma"/>
            <family val="2"/>
          </rPr>
          <t xml:space="preserve">Bajo dollars included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$133k Bajo
</t>
        </r>
      </text>
    </comment>
    <comment ref="XEQ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$133k Bajo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did not include 
$200k MCC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Marks Sept to Dec to ytd August
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included adv of $66k here as well as shopify
 of $12k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% does not include labor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using 30% when closed,
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30% when closed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28% cuts when closed
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used 49% when closed. Assumes will continue to pay for parking
</t>
        </r>
      </text>
    </comment>
  </commentList>
</comments>
</file>

<file path=xl/sharedStrings.xml><?xml version="1.0" encoding="utf-8"?>
<sst xmlns="http://schemas.openxmlformats.org/spreadsheetml/2006/main" count="319" uniqueCount="222">
  <si>
    <t>Annual Budget</t>
  </si>
  <si>
    <t>REVENUES:</t>
  </si>
  <si>
    <t>Museum Revenue</t>
  </si>
  <si>
    <t>Museum Admission</t>
  </si>
  <si>
    <t>Museum Store</t>
  </si>
  <si>
    <t>Hatch Retail Revenue</t>
  </si>
  <si>
    <t>Haley Gallery Revenue</t>
  </si>
  <si>
    <t>Hatch Show Print Revenue</t>
  </si>
  <si>
    <t>E-Store Revenue</t>
  </si>
  <si>
    <t>Subtotal Museum Revenue</t>
  </si>
  <si>
    <t>Event and Catering Revenue:</t>
  </si>
  <si>
    <t>Event Sales &amp; Service</t>
  </si>
  <si>
    <t>Catering</t>
  </si>
  <si>
    <t>Restaurants</t>
  </si>
  <si>
    <t>Subtotal Event &amp; Catering Revenue</t>
  </si>
  <si>
    <t>Sponsorship Revenue</t>
  </si>
  <si>
    <t>Other Rev. CMF Product Develop/Licensing</t>
  </si>
  <si>
    <t>Museum Programs and Services</t>
  </si>
  <si>
    <t>Education &amp; Public Programs</t>
  </si>
  <si>
    <t>Interest/Misc Revenue</t>
  </si>
  <si>
    <t>Total Earned Revenue</t>
  </si>
  <si>
    <t>Contributed/Designated/Restricted Revenue</t>
  </si>
  <si>
    <t>Contributed Revenue:</t>
  </si>
  <si>
    <t>Fundraising Events</t>
  </si>
  <si>
    <t>Individual Giving</t>
  </si>
  <si>
    <t>Institutional Giving</t>
  </si>
  <si>
    <t>Subtotal Contributed Revenues</t>
  </si>
  <si>
    <t>Designated/Restricted Revenues:</t>
  </si>
  <si>
    <t>Previously Restricted Gifts (timing)</t>
  </si>
  <si>
    <t>Subtotal Designated/Restricted</t>
  </si>
  <si>
    <t>Total Contributed</t>
  </si>
  <si>
    <t>Total Revenues</t>
  </si>
  <si>
    <t>EXPENSES:</t>
  </si>
  <si>
    <t>Cost of Operations/Sales-Museum</t>
  </si>
  <si>
    <t>Museum Admission Guest Services</t>
  </si>
  <si>
    <t>Hatch Retail</t>
  </si>
  <si>
    <t>Haley Gallery</t>
  </si>
  <si>
    <t>Hatch Show Print</t>
  </si>
  <si>
    <t>E-Store</t>
  </si>
  <si>
    <t>Ticketed Events</t>
  </si>
  <si>
    <t>Subtotal Cost of Operations/Sales Museum</t>
  </si>
  <si>
    <t>Event and Catering Expense:</t>
  </si>
  <si>
    <t>Events Sales and Service</t>
  </si>
  <si>
    <t>Subtotal Event &amp; Catering Expense</t>
  </si>
  <si>
    <t>Other Expense/CMF Product</t>
  </si>
  <si>
    <t>Education and Public Programs</t>
  </si>
  <si>
    <t>Expenses Related to Contributed Revenue</t>
  </si>
  <si>
    <t>Museum Relations Expense</t>
  </si>
  <si>
    <t>Designated Expense</t>
  </si>
  <si>
    <t>Expense Related to Contributed Income</t>
  </si>
  <si>
    <t>Total Contributed Expense</t>
  </si>
  <si>
    <t>Staffing Expense:</t>
  </si>
  <si>
    <t>Salaries</t>
  </si>
  <si>
    <t>Hourly Wages</t>
  </si>
  <si>
    <t>F&amp;B Hourly/Contract</t>
  </si>
  <si>
    <t>Housekeeping Contract</t>
  </si>
  <si>
    <t>Security Services</t>
  </si>
  <si>
    <t>Payroll Taxes and Benefits</t>
  </si>
  <si>
    <t>Total Staffing Expense</t>
  </si>
  <si>
    <t>Advertising &amp; Marketing Expense:</t>
  </si>
  <si>
    <t>Advertising/Marketing/Promo/PR</t>
  </si>
  <si>
    <t>Digital Marketing</t>
  </si>
  <si>
    <t>Total Adv. &amp; Mrkting Expense</t>
  </si>
  <si>
    <t>Creative Services</t>
  </si>
  <si>
    <t>Total G&amp;A Expense</t>
  </si>
  <si>
    <t>Total Expense before Debt &amp; Depreciation</t>
  </si>
  <si>
    <t>EBITDA</t>
  </si>
  <si>
    <t>Ticketed Events Revenue (CMA/Ford)</t>
  </si>
  <si>
    <t xml:space="preserve"> </t>
  </si>
  <si>
    <t>Technology Expense</t>
  </si>
  <si>
    <t>Occupancy Expense</t>
  </si>
  <si>
    <t>2021</t>
  </si>
  <si>
    <t>Adjustment</t>
  </si>
  <si>
    <t>2020</t>
  </si>
  <si>
    <t>Circa Store: The Museum Store</t>
  </si>
  <si>
    <t>$7MM at 2%</t>
  </si>
  <si>
    <t>$800k at 1%</t>
  </si>
  <si>
    <t>Deferral of FICA- assume 4 months</t>
  </si>
  <si>
    <t xml:space="preserve">       50% Due 12/31/21</t>
  </si>
  <si>
    <t>Notes : does not consider interest on line of credit or SBA</t>
  </si>
  <si>
    <t>Interest on line of credit and SBA (would increase interest income)</t>
  </si>
  <si>
    <t>Admissions</t>
  </si>
  <si>
    <t>Circa/MS</t>
  </si>
  <si>
    <t>Haley</t>
  </si>
  <si>
    <t>HSP</t>
  </si>
  <si>
    <t>Events/Catering</t>
  </si>
  <si>
    <t>COS/COO</t>
  </si>
  <si>
    <t>COL</t>
  </si>
  <si>
    <t>Total</t>
  </si>
  <si>
    <t>Bud Revenue</t>
  </si>
  <si>
    <t>Labor</t>
  </si>
  <si>
    <t>Savings</t>
  </si>
  <si>
    <t>Bud Labor</t>
  </si>
  <si>
    <t>Restaurant/RO</t>
  </si>
  <si>
    <t>Nonexempt admin</t>
  </si>
  <si>
    <t>Educ, PTE, Operations</t>
  </si>
  <si>
    <t>at 18%</t>
  </si>
  <si>
    <t>Mark's rev</t>
  </si>
  <si>
    <t>expenses</t>
  </si>
  <si>
    <t>May need to add back some nonexempt admin</t>
  </si>
  <si>
    <t>cut all</t>
  </si>
  <si>
    <t>Total hourly</t>
  </si>
  <si>
    <t>Total F&amp;B</t>
  </si>
  <si>
    <t xml:space="preserve">Housekeeping </t>
  </si>
  <si>
    <t>Jan-March</t>
  </si>
  <si>
    <t>April - May</t>
  </si>
  <si>
    <t>June-Dec</t>
  </si>
  <si>
    <t>Security</t>
  </si>
  <si>
    <t>2020 Monthly</t>
  </si>
  <si>
    <t>May need more hourly staff</t>
  </si>
  <si>
    <t xml:space="preserve">Note: </t>
  </si>
  <si>
    <t>All benefits:</t>
  </si>
  <si>
    <t>CMF</t>
  </si>
  <si>
    <t>Employee</t>
  </si>
  <si>
    <t xml:space="preserve">(includes family) </t>
  </si>
  <si>
    <t>Salaried</t>
  </si>
  <si>
    <t>FT hourly</t>
  </si>
  <si>
    <t>Monthly</t>
  </si>
  <si>
    <t>Monthly per employee</t>
  </si>
  <si>
    <t>Hourly staff - paid while closed</t>
  </si>
  <si>
    <t>April</t>
  </si>
  <si>
    <t>May</t>
  </si>
  <si>
    <t>June 18th</t>
  </si>
  <si>
    <t>Vacation payout</t>
  </si>
  <si>
    <t>March - 1/2</t>
  </si>
  <si>
    <t>G&amp;A</t>
  </si>
  <si>
    <t>Jan - March</t>
  </si>
  <si>
    <t>June - Dec</t>
  </si>
  <si>
    <t>savings</t>
  </si>
  <si>
    <t>Estimated SBA Loan forgiveness/grant revenue</t>
  </si>
  <si>
    <t>Net EBITDA</t>
  </si>
  <si>
    <t xml:space="preserve">Plan C - open 6/15/20 (after amending staffing as discussed) </t>
  </si>
  <si>
    <t>Plan C - open 8/1/20 (new revenue and amended staffing)</t>
  </si>
  <si>
    <t xml:space="preserve">January </t>
  </si>
  <si>
    <t>to July</t>
  </si>
  <si>
    <t>August</t>
  </si>
  <si>
    <t>Sept</t>
  </si>
  <si>
    <t xml:space="preserve">Oct </t>
  </si>
  <si>
    <t>November</t>
  </si>
  <si>
    <t>December</t>
  </si>
  <si>
    <t xml:space="preserve">Annual </t>
  </si>
  <si>
    <t>Difference</t>
  </si>
  <si>
    <t>SBA funds</t>
  </si>
  <si>
    <t>Jan thru</t>
  </si>
  <si>
    <t>June</t>
  </si>
  <si>
    <t>July</t>
  </si>
  <si>
    <t>Total 2020</t>
  </si>
  <si>
    <t>Closed</t>
  </si>
  <si>
    <t>Plan C- opening 8/1</t>
  </si>
  <si>
    <t>Total actual expenses</t>
  </si>
  <si>
    <t>Total required expenses</t>
  </si>
  <si>
    <t>Revised EBITDA</t>
  </si>
  <si>
    <t>Cumulative EBITDA</t>
  </si>
  <si>
    <t>Budgeted EBITDA</t>
  </si>
  <si>
    <t>September</t>
  </si>
  <si>
    <t>October</t>
  </si>
  <si>
    <t xml:space="preserve">January to </t>
  </si>
  <si>
    <t>Cumulative budgeted EBITDA</t>
  </si>
  <si>
    <t>May Actual</t>
  </si>
  <si>
    <t>total SBA</t>
  </si>
  <si>
    <t>SBA Proceeds - assumes portion forgiven</t>
  </si>
  <si>
    <t>New Plan - closed March 13 - Yearend</t>
  </si>
  <si>
    <t xml:space="preserve">Plan C - open 6/15/20 </t>
  </si>
  <si>
    <t>Number</t>
  </si>
  <si>
    <t>Dollars</t>
  </si>
  <si>
    <t>Admissions COS/COL/COO</t>
  </si>
  <si>
    <t>Circa/MS Retail COS/COL/COO</t>
  </si>
  <si>
    <t xml:space="preserve">Circa/MS Retail </t>
  </si>
  <si>
    <t>Hatch Retail COS/COL/COO</t>
  </si>
  <si>
    <t>Haley COS/COL/COO</t>
  </si>
  <si>
    <t>HSP COS/COL/COO</t>
  </si>
  <si>
    <t>Per Cap</t>
  </si>
  <si>
    <t>Oct</t>
  </si>
  <si>
    <t>Nov</t>
  </si>
  <si>
    <t>Dec</t>
  </si>
  <si>
    <t>Note:  before additional costs for opening: security, housekeeping, advertising,  hourly staff benefits</t>
  </si>
  <si>
    <t>Attendance Needed</t>
  </si>
  <si>
    <t xml:space="preserve">2020 Budgeted Att. </t>
  </si>
  <si>
    <t>Note: Negative cash flow by month will be occuring whether open or not, so any additional revenue will reduce loss (cost of sales less than 100% so always an improvement)</t>
  </si>
  <si>
    <t xml:space="preserve">Note: Real "break even" is to figure out how much revenue is needed to cover minimum staff each day, as only real incremental cost </t>
  </si>
  <si>
    <t>Revenue</t>
  </si>
  <si>
    <t>Net Per</t>
  </si>
  <si>
    <t>Cap</t>
  </si>
  <si>
    <t>Average weekly hourly wages, from first 30 days to "normal"</t>
  </si>
  <si>
    <t>revenue</t>
  </si>
  <si>
    <t>expense</t>
  </si>
  <si>
    <t>EE and ER</t>
  </si>
  <si>
    <t>monthly for all furloughed</t>
  </si>
  <si>
    <t>4 months</t>
  </si>
  <si>
    <t>Jan to May</t>
  </si>
  <si>
    <t>Jan to July</t>
  </si>
  <si>
    <t>Check</t>
  </si>
  <si>
    <t>Jan to Aug</t>
  </si>
  <si>
    <t>Actuals</t>
  </si>
  <si>
    <t>Adm revenue</t>
  </si>
  <si>
    <t>Studio B rev</t>
  </si>
  <si>
    <t>HSP tour rev</t>
  </si>
  <si>
    <t>hourly wages</t>
  </si>
  <si>
    <t>adm</t>
  </si>
  <si>
    <t>guest exp</t>
  </si>
  <si>
    <t>studio b</t>
  </si>
  <si>
    <t>Circa/MS rev</t>
  </si>
  <si>
    <t>Hatch retail</t>
  </si>
  <si>
    <t>rev</t>
  </si>
  <si>
    <t>2020 -</t>
  </si>
  <si>
    <t>to 1/2 of 25%</t>
  </si>
  <si>
    <t>housekeeping - starting Sept</t>
  </si>
  <si>
    <t>security - starting Sept</t>
  </si>
  <si>
    <t xml:space="preserve">furloughed benefits, </t>
  </si>
  <si>
    <t xml:space="preserve">      Sept to Dec</t>
  </si>
  <si>
    <t>parking - sept to dec</t>
  </si>
  <si>
    <t>with SBA</t>
  </si>
  <si>
    <t>2020 Budget</t>
  </si>
  <si>
    <t>Reforcast</t>
  </si>
  <si>
    <t>20% increase</t>
  </si>
  <si>
    <t>from Marks</t>
  </si>
  <si>
    <t>sept-dec</t>
  </si>
  <si>
    <t>Total COL</t>
  </si>
  <si>
    <t>from 2020 to get</t>
  </si>
  <si>
    <t>to Reforecast</t>
  </si>
  <si>
    <t>Annual Forecast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</si>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</sst>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"/>
    <numFmt numFmtId="166" formatCode="0.00_);\(0.00\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left" indent="1"/>
    </xf>
    <xf numFmtId="0" fontId="0" fillId="0" borderId="0" xfId="0" applyFont="1" applyFill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3" borderId="0" xfId="0" applyFill="1"/>
    <xf numFmtId="5" fontId="0" fillId="0" borderId="0" xfId="0" applyNumberFormat="1"/>
    <xf numFmtId="5" fontId="4" fillId="0" borderId="0" xfId="2" applyNumberFormat="1" applyFont="1" applyFill="1"/>
    <xf numFmtId="5" fontId="2" fillId="0" borderId="3" xfId="1" applyNumberFormat="1" applyFont="1" applyFill="1" applyBorder="1"/>
    <xf numFmtId="5" fontId="2" fillId="0" borderId="4" xfId="1" applyNumberFormat="1" applyFont="1" applyFill="1" applyBorder="1"/>
    <xf numFmtId="5" fontId="3" fillId="0" borderId="3" xfId="0" applyNumberFormat="1" applyFont="1" applyFill="1" applyBorder="1"/>
    <xf numFmtId="5" fontId="0" fillId="0" borderId="0" xfId="0" applyNumberFormat="1" applyFill="1" applyBorder="1"/>
    <xf numFmtId="164" fontId="0" fillId="0" borderId="0" xfId="0" applyNumberFormat="1"/>
    <xf numFmtId="10" fontId="0" fillId="0" borderId="0" xfId="0" applyNumberFormat="1"/>
    <xf numFmtId="5" fontId="2" fillId="0" borderId="3" xfId="0" applyNumberFormat="1" applyFont="1" applyBorder="1"/>
    <xf numFmtId="5" fontId="0" fillId="0" borderId="0" xfId="0" applyNumberFormat="1" applyFill="1"/>
    <xf numFmtId="10" fontId="0" fillId="0" borderId="0" xfId="0" applyNumberFormat="1" applyFill="1"/>
    <xf numFmtId="5" fontId="3" fillId="4" borderId="4" xfId="0" applyNumberFormat="1" applyFont="1" applyFill="1" applyBorder="1"/>
    <xf numFmtId="10" fontId="0" fillId="4" borderId="0" xfId="0" applyNumberFormat="1" applyFill="1"/>
    <xf numFmtId="165" fontId="0" fillId="0" borderId="0" xfId="0" applyNumberFormat="1"/>
    <xf numFmtId="5" fontId="2" fillId="2" borderId="1" xfId="0" applyNumberFormat="1" applyFont="1" applyFill="1" applyBorder="1" applyAlignment="1">
      <alignment horizontal="center"/>
    </xf>
    <xf numFmtId="5" fontId="2" fillId="2" borderId="2" xfId="0" quotePrefix="1" applyNumberFormat="1" applyFont="1" applyFill="1" applyBorder="1" applyAlignment="1">
      <alignment horizontal="center"/>
    </xf>
    <xf numFmtId="10" fontId="0" fillId="5" borderId="0" xfId="0" applyNumberFormat="1" applyFill="1"/>
    <xf numFmtId="5" fontId="3" fillId="0" borderId="0" xfId="0" applyNumberFormat="1" applyFont="1" applyFill="1" applyBorder="1"/>
    <xf numFmtId="0" fontId="2" fillId="0" borderId="0" xfId="0" applyFont="1" applyFill="1"/>
    <xf numFmtId="5" fontId="2" fillId="0" borderId="0" xfId="0" applyNumberFormat="1" applyFont="1"/>
    <xf numFmtId="10" fontId="2" fillId="0" borderId="0" xfId="0" applyNumberFormat="1" applyFont="1" applyFill="1"/>
    <xf numFmtId="5" fontId="2" fillId="0" borderId="0" xfId="0" applyNumberFormat="1" applyFont="1" applyFill="1"/>
    <xf numFmtId="5" fontId="2" fillId="0" borderId="0" xfId="0" applyNumberFormat="1" applyFont="1" applyAlignment="1">
      <alignment horizontal="center"/>
    </xf>
    <xf numFmtId="39" fontId="4" fillId="0" borderId="0" xfId="0" applyNumberFormat="1" applyFont="1" applyFill="1"/>
    <xf numFmtId="0" fontId="0" fillId="0" borderId="0" xfId="0" applyFont="1"/>
    <xf numFmtId="2" fontId="0" fillId="0" borderId="0" xfId="0" quotePrefix="1" applyNumberFormat="1"/>
    <xf numFmtId="0" fontId="0" fillId="0" borderId="0" xfId="0" applyAlignment="1">
      <alignment horizontal="center"/>
    </xf>
    <xf numFmtId="7" fontId="0" fillId="0" borderId="0" xfId="0" applyNumberFormat="1"/>
    <xf numFmtId="5" fontId="0" fillId="0" borderId="0" xfId="0" quotePrefix="1" applyNumberFormat="1" applyAlignment="1">
      <alignment horizontal="center"/>
    </xf>
    <xf numFmtId="0" fontId="0" fillId="0" borderId="0" xfId="0" quotePrefix="1"/>
    <xf numFmtId="5" fontId="0" fillId="0" borderId="3" xfId="0" applyNumberFormat="1" applyBorder="1"/>
    <xf numFmtId="5" fontId="0" fillId="0" borderId="0" xfId="0" applyNumberFormat="1" applyBorder="1"/>
    <xf numFmtId="0" fontId="2" fillId="2" borderId="2" xfId="0" quotePrefix="1" applyFont="1" applyFill="1" applyBorder="1" applyAlignment="1">
      <alignment horizontal="center"/>
    </xf>
    <xf numFmtId="5" fontId="0" fillId="0" borderId="0" xfId="0" applyNumberFormat="1" applyAlignment="1">
      <alignment horizontal="center"/>
    </xf>
    <xf numFmtId="7" fontId="0" fillId="0" borderId="0" xfId="0" applyNumberFormat="1" applyFill="1"/>
    <xf numFmtId="165" fontId="0" fillId="0" borderId="0" xfId="0" applyNumberFormat="1" applyFill="1"/>
    <xf numFmtId="0" fontId="0" fillId="0" borderId="3" xfId="0" applyBorder="1"/>
    <xf numFmtId="2" fontId="0" fillId="0" borderId="0" xfId="0" applyNumberFormat="1"/>
    <xf numFmtId="5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Fill="1"/>
    <xf numFmtId="14" fontId="2" fillId="3" borderId="0" xfId="0" applyNumberFormat="1" applyFont="1" applyFill="1"/>
    <xf numFmtId="5" fontId="2" fillId="0" borderId="4" xfId="0" applyNumberFormat="1" applyFont="1" applyBorder="1"/>
    <xf numFmtId="0" fontId="0" fillId="0" borderId="0" xfId="0" applyBorder="1"/>
    <xf numFmtId="165" fontId="0" fillId="0" borderId="0" xfId="0" applyNumberFormat="1" applyBorder="1"/>
    <xf numFmtId="165" fontId="2" fillId="0" borderId="0" xfId="0" applyNumberFormat="1" applyFont="1" applyBorder="1"/>
    <xf numFmtId="5" fontId="2" fillId="0" borderId="4" xfId="0" applyNumberFormat="1" applyFont="1" applyFill="1" applyBorder="1"/>
    <xf numFmtId="5" fontId="2" fillId="3" borderId="4" xfId="0" applyNumberFormat="1" applyFont="1" applyFill="1" applyBorder="1"/>
    <xf numFmtId="5" fontId="0" fillId="0" borderId="3" xfId="0" applyNumberFormat="1" applyFill="1" applyBorder="1"/>
    <xf numFmtId="42" fontId="2" fillId="0" borderId="0" xfId="0" applyNumberFormat="1" applyFont="1"/>
    <xf numFmtId="5" fontId="0" fillId="3" borderId="3" xfId="0" applyNumberFormat="1" applyFill="1" applyBorder="1"/>
    <xf numFmtId="3" fontId="0" fillId="0" borderId="0" xfId="0" applyNumberFormat="1"/>
    <xf numFmtId="37" fontId="0" fillId="0" borderId="0" xfId="0" applyNumberFormat="1"/>
    <xf numFmtId="165" fontId="2" fillId="0" borderId="4" xfId="0" applyNumberFormat="1" applyFont="1" applyBorder="1"/>
    <xf numFmtId="166" fontId="0" fillId="0" borderId="0" xfId="0" applyNumberFormat="1"/>
    <xf numFmtId="0" fontId="0" fillId="0" borderId="0" xfId="0" applyFill="1" applyAlignment="1">
      <alignment horizontal="left" indent="1"/>
    </xf>
    <xf numFmtId="5" fontId="2" fillId="0" borderId="0" xfId="0" applyNumberFormat="1" applyFont="1" applyFill="1" applyAlignment="1">
      <alignment horizontal="center"/>
    </xf>
    <xf numFmtId="5" fontId="2" fillId="0" borderId="3" xfId="0" applyNumberFormat="1" applyFont="1" applyFill="1" applyBorder="1"/>
    <xf numFmtId="7" fontId="0" fillId="0" borderId="0" xfId="0" applyNumberFormat="1" applyFill="1" applyBorder="1"/>
    <xf numFmtId="7" fontId="0" fillId="3" borderId="0" xfId="0" applyNumberFormat="1" applyFill="1"/>
    <xf numFmtId="10" fontId="0" fillId="6" borderId="0" xfId="0" applyNumberFormat="1" applyFill="1"/>
    <xf numFmtId="0" fontId="0" fillId="0" borderId="5" xfId="0" applyBorder="1"/>
    <xf numFmtId="10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10" fontId="0" fillId="0" borderId="5" xfId="0" applyNumberFormat="1" applyBorder="1"/>
    <xf numFmtId="10" fontId="0" fillId="6" borderId="5" xfId="0" applyNumberFormat="1" applyFill="1" applyBorder="1"/>
    <xf numFmtId="10" fontId="0" fillId="5" borderId="5" xfId="0" applyNumberFormat="1" applyFill="1" applyBorder="1"/>
    <xf numFmtId="167" fontId="0" fillId="0" borderId="0" xfId="0" applyNumberFormat="1"/>
    <xf numFmtId="5" fontId="2" fillId="2" borderId="2" xfId="0" applyNumberFormat="1" applyFont="1" applyFill="1" applyBorder="1" applyAlignment="1">
      <alignment horizontal="center"/>
    </xf>
    <xf numFmtId="5" fontId="2" fillId="2" borderId="6" xfId="0" applyNumberFormat="1" applyFont="1" applyFill="1" applyBorder="1"/>
    <xf numFmtId="10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5" fontId="2" fillId="2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5" fontId="2" fillId="0" borderId="0" xfId="1" applyNumberFormat="1" applyFont="1" applyFill="1" applyBorder="1"/>
    <xf numFmtId="5" fontId="2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9" fontId="4" fillId="0" borderId="0" xfId="0" applyNumberFormat="1" applyFont="1" applyFill="1" applyBorder="1"/>
    <xf numFmtId="0" fontId="0" fillId="0" borderId="0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%20Shares/Accounting%20Department/Nina/Budgets/2020%20Budgets/NinaB/summaries/newprojections/sept%20projections/Updated_%209_26_20_2020%20Covid%20Budget%20Reforecast%20D%20All%20Budgets%209.17.20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%20Shares/Accounting%20Department/Nina/Budgets/2020%20Budgets/NinaB/summaries/newprojections/sept%20projections/2020%20Covid%20Budget%20Reforecast%20D%20All%20Budgets%209.17.20%20(0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%20Shares/Accounting%20Department/Nina/Budgets/2020%20Budgets/NinaB/summaries/newprojections/June%20projections/2020%20budget%206_13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 Summary"/>
      <sheetName val="Museum Admissions"/>
      <sheetName val="Guest Experience"/>
      <sheetName val="Studio B"/>
      <sheetName val="HSP Tours_Wkshps"/>
      <sheetName val="Circa"/>
      <sheetName val="Museum Store"/>
      <sheetName val="HSP Custom"/>
      <sheetName val="Haley Gallery"/>
      <sheetName val="HSP Store"/>
      <sheetName val="E-commerce"/>
    </sheetNames>
    <sheetDataSet>
      <sheetData sheetId="0"/>
      <sheetData sheetId="1">
        <row r="14">
          <cell r="O14">
            <v>239874</v>
          </cell>
        </row>
        <row r="15">
          <cell r="R15">
            <v>444076</v>
          </cell>
        </row>
        <row r="22">
          <cell r="P22">
            <v>687212</v>
          </cell>
          <cell r="Q22">
            <v>536133</v>
          </cell>
        </row>
      </sheetData>
      <sheetData sheetId="2"/>
      <sheetData sheetId="3">
        <row r="14">
          <cell r="S14">
            <v>36967</v>
          </cell>
        </row>
        <row r="18">
          <cell r="P18">
            <v>22577.5</v>
          </cell>
          <cell r="Q18">
            <v>55761</v>
          </cell>
          <cell r="R18">
            <v>49967</v>
          </cell>
        </row>
      </sheetData>
      <sheetData sheetId="4">
        <row r="18">
          <cell r="P18">
            <v>6599.5</v>
          </cell>
          <cell r="Q18">
            <v>14725</v>
          </cell>
          <cell r="R18">
            <v>13295</v>
          </cell>
          <cell r="S18">
            <v>11528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 Summary"/>
      <sheetName val="Museum Admissions"/>
      <sheetName val="Guest Experience"/>
      <sheetName val="Studio B"/>
      <sheetName val="HSP Tours_Wkshps"/>
      <sheetName val="Circa"/>
      <sheetName val="Museum Store"/>
      <sheetName val="HSP Custom"/>
      <sheetName val="Haley Gallery"/>
      <sheetName val="HSP Store"/>
      <sheetName val="E-commerce"/>
    </sheetNames>
    <sheetDataSet>
      <sheetData sheetId="0"/>
      <sheetData sheetId="1"/>
      <sheetData sheetId="2"/>
      <sheetData sheetId="3"/>
      <sheetData sheetId="4"/>
      <sheetData sheetId="5">
        <row r="10">
          <cell r="P10">
            <v>87852.977327893401</v>
          </cell>
          <cell r="Q10">
            <v>234870.94156897176</v>
          </cell>
          <cell r="R10">
            <v>192837.28523472603</v>
          </cell>
          <cell r="S10">
            <v>163087.0724577803</v>
          </cell>
        </row>
      </sheetData>
      <sheetData sheetId="6">
        <row r="12">
          <cell r="P12">
            <v>18084</v>
          </cell>
          <cell r="R12">
            <v>39694.380000000005</v>
          </cell>
          <cell r="S12">
            <v>33570.480000000003</v>
          </cell>
        </row>
      </sheetData>
      <sheetData sheetId="7">
        <row r="15">
          <cell r="P15">
            <v>39765.800000000003</v>
          </cell>
        </row>
        <row r="17">
          <cell r="Q17">
            <v>45622.8</v>
          </cell>
          <cell r="R17">
            <v>45229.8</v>
          </cell>
          <cell r="S17">
            <v>35850.6</v>
          </cell>
        </row>
      </sheetData>
      <sheetData sheetId="8">
        <row r="16">
          <cell r="P16">
            <v>7678.6842824999985</v>
          </cell>
          <cell r="Q16">
            <v>10490.812886400003</v>
          </cell>
          <cell r="R16">
            <v>9843.8006040000037</v>
          </cell>
          <cell r="S16">
            <v>8325.1359840000005</v>
          </cell>
        </row>
      </sheetData>
      <sheetData sheetId="9">
        <row r="17">
          <cell r="P17">
            <v>46904.077080000003</v>
          </cell>
          <cell r="Q17">
            <v>64081.537689600009</v>
          </cell>
          <cell r="R17">
            <v>52613.191224000002</v>
          </cell>
          <cell r="S17">
            <v>46350.234900000003</v>
          </cell>
        </row>
      </sheetData>
      <sheetData sheetId="10">
        <row r="14">
          <cell r="P14">
            <v>78494.998400000055</v>
          </cell>
          <cell r="Q14">
            <v>92171.882400000002</v>
          </cell>
          <cell r="R14">
            <v>99901.900800000003</v>
          </cell>
          <cell r="S14">
            <v>108338.152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10 percent cut in expenses"/>
      <sheetName val="30 percent drop in revenues"/>
      <sheetName val="closed March to May, then 30%"/>
      <sheetName val="summary for kyle"/>
      <sheetName val="EBITDA_CF_SBA"/>
      <sheetName val="summary info"/>
      <sheetName val="weekly revenue"/>
      <sheetName val="weekly exp"/>
      <sheetName val="Sheet1"/>
      <sheetName val="notes for CF"/>
      <sheetName val="paying staff"/>
      <sheetName val="profor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N19">
            <v>1963070.39</v>
          </cell>
          <cell r="S19">
            <v>1163956.8999999999</v>
          </cell>
          <cell r="V19">
            <v>1177779.4000000001</v>
          </cell>
          <cell r="AA19">
            <v>1199464.0999999999</v>
          </cell>
          <cell r="AF19">
            <v>1593472.5</v>
          </cell>
          <cell r="AI19">
            <v>1172415.1000000001</v>
          </cell>
          <cell r="AN19">
            <v>1579299.7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Q113"/>
  <sheetViews>
    <sheetView tabSelected="1" view="pageBreakPreview" zoomScaleNormal="100" zoomScaleSheetLayoutView="100" workbookViewId="0">
      <pane xSplit="11" ySplit="4" topLeftCell="L46" activePane="bottomRight" state="frozen"/>
      <selection pane="topRight" activeCell="K1" sqref="K1"/>
      <selection pane="bottomLeft" activeCell="A5" sqref="A5"/>
      <selection pane="bottomRight" activeCell="AB29" sqref="AB29"/>
    </sheetView>
  </sheetViews>
  <sheetFormatPr defaultRowHeight="15" x14ac:dyDescent="0.25"/>
  <cols>
    <col min="1" max="1" width="38.85546875" customWidth="1"/>
    <col min="2" max="2" width="8.140625" hidden="1" customWidth="1"/>
    <col min="3" max="3" width="1.42578125" customWidth="1"/>
    <col min="4" max="4" width="14.28515625" style="8" hidden="1" customWidth="1"/>
    <col min="5" max="5" width="2.28515625" hidden="1" customWidth="1"/>
    <col min="6" max="6" width="8.85546875" style="15" hidden="1" customWidth="1"/>
    <col min="7" max="7" width="14.7109375" style="8" hidden="1" customWidth="1"/>
    <col min="8" max="8" width="8.85546875" hidden="1" customWidth="1"/>
    <col min="9" max="9" width="14.7109375" hidden="1" customWidth="1"/>
    <col min="10" max="10" width="2.140625" style="91" customWidth="1"/>
    <col min="11" max="11" width="14.28515625" style="8" customWidth="1"/>
    <col min="12" max="12" width="12" style="17" hidden="1" customWidth="1"/>
    <col min="13" max="13" width="11.7109375" style="17" hidden="1" customWidth="1"/>
    <col min="14" max="14" width="12.85546875" style="17" hidden="1" customWidth="1"/>
    <col min="15" max="16" width="11.7109375" style="17" hidden="1" customWidth="1"/>
    <col min="17" max="17" width="12.28515625" style="17" hidden="1" customWidth="1"/>
    <col min="18" max="18" width="12.7109375" style="1" hidden="1" customWidth="1"/>
    <col min="19" max="19" width="10.28515625" style="1" hidden="1" customWidth="1"/>
    <col min="20" max="20" width="11.7109375" style="1" hidden="1" customWidth="1"/>
    <col min="21" max="21" width="12.28515625" style="1" hidden="1" customWidth="1"/>
    <col min="22" max="25" width="12" style="1" hidden="1" customWidth="1"/>
    <col min="26" max="26" width="11.42578125" style="1" hidden="1" customWidth="1"/>
    <col min="27" max="27" width="14.5703125" hidden="1" customWidth="1"/>
    <col min="28" max="32" width="8.85546875" customWidth="1"/>
    <col min="16371" max="16371" width="14.28515625" style="8" customWidth="1"/>
  </cols>
  <sheetData>
    <row r="1" spans="1:27 16371:16371" x14ac:dyDescent="0.25">
      <c r="A1" s="1"/>
    </row>
    <row r="2" spans="1:27 16371:16371" x14ac:dyDescent="0.25">
      <c r="G2" s="77" t="s">
        <v>72</v>
      </c>
      <c r="I2" s="40" t="s">
        <v>73</v>
      </c>
      <c r="J2" s="88"/>
      <c r="L2" s="23" t="s">
        <v>73</v>
      </c>
      <c r="Q2" s="29" t="s">
        <v>190</v>
      </c>
      <c r="R2" s="26" t="s">
        <v>133</v>
      </c>
      <c r="S2" s="26"/>
      <c r="T2" s="26"/>
      <c r="U2" s="26"/>
      <c r="V2" s="26"/>
      <c r="W2" s="26"/>
      <c r="X2" s="26"/>
      <c r="Y2" s="26" t="s">
        <v>140</v>
      </c>
      <c r="AA2" s="26"/>
    </row>
    <row r="3" spans="1:27 16371:16371" x14ac:dyDescent="0.25">
      <c r="D3" s="23" t="s">
        <v>73</v>
      </c>
      <c r="G3" s="78" t="s">
        <v>218</v>
      </c>
      <c r="I3" s="80" t="s">
        <v>221</v>
      </c>
      <c r="J3" s="89"/>
      <c r="K3" s="23" t="s">
        <v>71</v>
      </c>
      <c r="L3" s="78" t="s">
        <v>192</v>
      </c>
      <c r="M3" s="65" t="s">
        <v>121</v>
      </c>
      <c r="N3" s="65" t="s">
        <v>189</v>
      </c>
      <c r="O3" s="65" t="s">
        <v>144</v>
      </c>
      <c r="P3" s="65" t="s">
        <v>145</v>
      </c>
      <c r="Q3" s="65" t="s">
        <v>191</v>
      </c>
      <c r="R3" s="26" t="s">
        <v>134</v>
      </c>
      <c r="S3" s="26"/>
      <c r="T3" s="26" t="s">
        <v>135</v>
      </c>
      <c r="U3" s="26" t="s">
        <v>136</v>
      </c>
      <c r="V3" s="26" t="s">
        <v>137</v>
      </c>
      <c r="W3" s="26" t="s">
        <v>138</v>
      </c>
      <c r="X3" s="26" t="s">
        <v>139</v>
      </c>
      <c r="Y3" s="49" t="s">
        <v>73</v>
      </c>
      <c r="AA3" s="26" t="s">
        <v>141</v>
      </c>
      <c r="XEQ3" s="23" t="s">
        <v>73</v>
      </c>
    </row>
    <row r="4" spans="1:27 16371:16371" x14ac:dyDescent="0.25">
      <c r="D4" s="22" t="s">
        <v>0</v>
      </c>
      <c r="G4" s="79" t="s">
        <v>219</v>
      </c>
      <c r="I4" s="87" t="s">
        <v>220</v>
      </c>
      <c r="J4" s="89"/>
      <c r="K4" s="22" t="s">
        <v>0</v>
      </c>
      <c r="L4" s="22" t="s">
        <v>193</v>
      </c>
      <c r="R4" s="49" t="s">
        <v>73</v>
      </c>
      <c r="S4" s="26"/>
      <c r="XEQ4" s="22" t="s">
        <v>0</v>
      </c>
    </row>
    <row r="5" spans="1:27 16371:16371" x14ac:dyDescent="0.25">
      <c r="A5" s="2"/>
      <c r="D5" s="82"/>
      <c r="E5" s="1"/>
      <c r="F5" s="18"/>
      <c r="G5" s="83"/>
      <c r="H5" s="1"/>
      <c r="I5" s="84"/>
      <c r="J5" s="84"/>
      <c r="K5" s="82"/>
      <c r="L5" s="81"/>
      <c r="R5" s="49"/>
      <c r="S5" s="26"/>
      <c r="XEQ5" s="82"/>
    </row>
    <row r="6" spans="1:27 16371:16371" x14ac:dyDescent="0.25">
      <c r="A6" s="2" t="s">
        <v>1</v>
      </c>
      <c r="D6" s="82"/>
      <c r="E6" s="1"/>
      <c r="F6" s="18"/>
      <c r="G6" s="83"/>
      <c r="H6" s="1"/>
      <c r="I6" s="84"/>
      <c r="J6" s="84"/>
      <c r="K6" s="82"/>
      <c r="L6" s="81"/>
      <c r="R6" s="49"/>
      <c r="S6" s="26"/>
      <c r="XEQ6" s="82"/>
    </row>
    <row r="7" spans="1:27 16371:16371" x14ac:dyDescent="0.25">
      <c r="A7" s="2" t="s">
        <v>2</v>
      </c>
      <c r="Z7" s="17"/>
    </row>
    <row r="8" spans="1:27 16371:16371" x14ac:dyDescent="0.25">
      <c r="A8" s="1" t="s">
        <v>3</v>
      </c>
      <c r="B8" s="15" t="e">
        <f>(#REF!-#REF!)/#REF!</f>
        <v>#REF!</v>
      </c>
      <c r="C8" s="15"/>
      <c r="D8" s="9">
        <v>20908009</v>
      </c>
      <c r="G8" s="8">
        <f>I8-D8</f>
        <v>-16390230</v>
      </c>
      <c r="H8" s="15">
        <f>G8/D8</f>
        <v>-0.78392112802323743</v>
      </c>
      <c r="I8" s="8">
        <v>4517779</v>
      </c>
      <c r="J8" s="13"/>
      <c r="K8" s="9">
        <v>13133306</v>
      </c>
      <c r="L8" s="17">
        <v>2671979</v>
      </c>
      <c r="R8" s="17"/>
      <c r="S8" s="17"/>
      <c r="T8" s="17"/>
      <c r="U8" s="17">
        <f>'[1]Museum Admissions'!$O$14+'[1]Studio B'!$P$18+'[1]HSP Tours_Wkshps'!$P$18+12185</f>
        <v>281236</v>
      </c>
      <c r="V8" s="17">
        <f>'[1]Museum Admissions'!$P$22+'[1]Studio B'!$Q$18+'[1]HSP Tours_Wkshps'!$Q$18</f>
        <v>757698</v>
      </c>
      <c r="W8" s="17">
        <f>'[1]Museum Admissions'!$Q$22+'[1]Studio B'!$R$18+'[1]HSP Tours_Wkshps'!$R$18</f>
        <v>599395</v>
      </c>
      <c r="X8" s="17">
        <f>'[1]Museum Admissions'!$R$15+'[1]Studio B'!$S$14+'[1]HSP Tours_Wkshps'!$S$18</f>
        <v>492571</v>
      </c>
      <c r="Y8" s="17">
        <f>L8+SUM(U8:X8)</f>
        <v>4802879</v>
      </c>
      <c r="Z8" s="17"/>
      <c r="XEQ8" s="9">
        <v>20908009</v>
      </c>
    </row>
    <row r="9" spans="1:27 16371:16371" x14ac:dyDescent="0.25">
      <c r="A9" s="1" t="s">
        <v>74</v>
      </c>
      <c r="B9" s="15" t="e">
        <f>(#REF!-#REF!)/#REF!</f>
        <v>#REF!</v>
      </c>
      <c r="C9" s="15"/>
      <c r="D9" s="8">
        <v>5669733</v>
      </c>
      <c r="G9" s="8">
        <f t="shared" ref="G9:G11" si="0">I9-D9</f>
        <v>-4391630</v>
      </c>
      <c r="H9" s="15">
        <f>(SUM(G9:G11)+G13+G26)/(SUM(D9:D11)+D13+D26)</f>
        <v>-0.71055112888107819</v>
      </c>
      <c r="I9" s="8">
        <v>1278103</v>
      </c>
      <c r="J9" s="13"/>
      <c r="K9" s="8">
        <v>4071720</v>
      </c>
      <c r="L9" s="17">
        <v>655603</v>
      </c>
      <c r="R9" s="17"/>
      <c r="S9" s="17"/>
      <c r="T9" s="17"/>
      <c r="U9" s="17">
        <f>[2]Circa!$P$10+'[2]Museum Store'!$P$12+30262</f>
        <v>136198.9773278934</v>
      </c>
      <c r="V9" s="17">
        <f>[2]Circa!$Q$10+'[2]Museum Store'!$P$12</f>
        <v>252954.94156897176</v>
      </c>
      <c r="W9" s="17">
        <f>[2]Circa!$R$10+'[2]Museum Store'!$R$12</f>
        <v>232531.66523472604</v>
      </c>
      <c r="X9" s="17">
        <f>[2]Circa!$S$10+'[2]Museum Store'!$S$12</f>
        <v>196657.55245778032</v>
      </c>
      <c r="Y9" s="17">
        <f>L9+SUM(U9:X9)</f>
        <v>1473946.1365893716</v>
      </c>
      <c r="Z9" s="17"/>
      <c r="XEQ9" s="8">
        <v>5669733</v>
      </c>
    </row>
    <row r="10" spans="1:27 16371:16371" x14ac:dyDescent="0.25">
      <c r="A10" s="1" t="s">
        <v>5</v>
      </c>
      <c r="B10" s="15" t="e">
        <f>(#REF!-#REF!)/#REF!</f>
        <v>#REF!</v>
      </c>
      <c r="C10" s="15"/>
      <c r="D10" s="8">
        <v>1025440</v>
      </c>
      <c r="G10" s="8">
        <f t="shared" si="0"/>
        <v>-741693</v>
      </c>
      <c r="H10" s="15"/>
      <c r="I10" s="8">
        <v>283747</v>
      </c>
      <c r="J10" s="13"/>
      <c r="K10" s="8">
        <v>731384</v>
      </c>
      <c r="L10" s="17">
        <v>174249</v>
      </c>
      <c r="R10" s="17"/>
      <c r="S10" s="17"/>
      <c r="T10" s="17"/>
      <c r="U10" s="17">
        <f>'[2]HSP Store'!$P$17+2</f>
        <v>46906.077080000003</v>
      </c>
      <c r="V10" s="17">
        <f>'[2]HSP Store'!$Q$17</f>
        <v>64081.537689600009</v>
      </c>
      <c r="W10" s="17">
        <f>'[2]HSP Store'!$R$17</f>
        <v>52613.191224000002</v>
      </c>
      <c r="X10" s="17">
        <f>'[2]HSP Store'!$S$17</f>
        <v>46350.234900000003</v>
      </c>
      <c r="Y10" s="17">
        <f t="shared" ref="Y10:Y13" si="1">L10+SUM(U10:X10)</f>
        <v>384200.04089360003</v>
      </c>
      <c r="Z10" s="17"/>
      <c r="XEQ10" s="8">
        <v>1025440</v>
      </c>
    </row>
    <row r="11" spans="1:27 16371:16371" x14ac:dyDescent="0.25">
      <c r="A11" s="1" t="s">
        <v>6</v>
      </c>
      <c r="B11" s="15" t="e">
        <f>(#REF!-#REF!)/#REF!</f>
        <v>#REF!</v>
      </c>
      <c r="C11" s="15"/>
      <c r="D11" s="8">
        <v>229525</v>
      </c>
      <c r="G11" s="8">
        <f t="shared" si="0"/>
        <v>-171308</v>
      </c>
      <c r="H11" s="15"/>
      <c r="I11" s="17">
        <v>58217</v>
      </c>
      <c r="J11" s="13"/>
      <c r="K11" s="8">
        <v>127291</v>
      </c>
      <c r="L11" s="17">
        <v>36592</v>
      </c>
      <c r="R11" s="17"/>
      <c r="S11" s="17"/>
      <c r="T11" s="17"/>
      <c r="U11" s="17">
        <f>'[2]Haley Gallery'!$P$16-1</f>
        <v>7677.6842824999985</v>
      </c>
      <c r="V11" s="17">
        <f>'[2]Haley Gallery'!$Q$16</f>
        <v>10490.812886400003</v>
      </c>
      <c r="W11" s="17">
        <f>'[2]Haley Gallery'!$R$16</f>
        <v>9843.8006040000037</v>
      </c>
      <c r="X11" s="17">
        <f>'[2]Haley Gallery'!$S$16</f>
        <v>8325.1359840000005</v>
      </c>
      <c r="Y11" s="17">
        <f>L11+SUM(U11:X11)</f>
        <v>72929.433756900005</v>
      </c>
      <c r="Z11" s="17"/>
      <c r="XEQ11" s="8">
        <v>229525</v>
      </c>
    </row>
    <row r="12" spans="1:27 16371:16371" x14ac:dyDescent="0.25">
      <c r="A12" s="1" t="s">
        <v>7</v>
      </c>
      <c r="B12" s="15" t="e">
        <f>(#REF!-#REF!)/#REF!</f>
        <v>#REF!</v>
      </c>
      <c r="C12" s="15"/>
      <c r="D12" s="8">
        <v>787001</v>
      </c>
      <c r="G12" s="8">
        <f>I12-D12</f>
        <v>-507898</v>
      </c>
      <c r="H12" s="15">
        <f>G12/D12</f>
        <v>-0.6453587733687759</v>
      </c>
      <c r="I12" s="17">
        <v>279103</v>
      </c>
      <c r="J12" s="13"/>
      <c r="K12" s="8">
        <v>402448</v>
      </c>
      <c r="L12" s="17">
        <v>213933</v>
      </c>
      <c r="R12" s="17"/>
      <c r="S12" s="17"/>
      <c r="T12" s="17"/>
      <c r="U12" s="17">
        <f>'[2]HSP Custom'!$P$15-1897</f>
        <v>37868.800000000003</v>
      </c>
      <c r="V12" s="17">
        <f>'[2]HSP Custom'!$Q$17</f>
        <v>45622.8</v>
      </c>
      <c r="W12" s="17">
        <f>'[2]HSP Custom'!$R$17</f>
        <v>45229.8</v>
      </c>
      <c r="X12" s="17">
        <f>'[2]HSP Custom'!$S$17</f>
        <v>35850.6</v>
      </c>
      <c r="Y12" s="17">
        <f t="shared" si="1"/>
        <v>378505</v>
      </c>
      <c r="Z12" s="17"/>
      <c r="XEQ12" s="8">
        <v>787001</v>
      </c>
    </row>
    <row r="13" spans="1:27 16371:16371" x14ac:dyDescent="0.25">
      <c r="A13" s="1" t="s">
        <v>8</v>
      </c>
      <c r="B13" s="15" t="e">
        <f>(#REF!-#REF!)/#REF!</f>
        <v>#REF!</v>
      </c>
      <c r="C13" s="15"/>
      <c r="D13" s="8">
        <v>86250</v>
      </c>
      <c r="G13" s="8">
        <f>I13-D13</f>
        <v>321418</v>
      </c>
      <c r="H13" s="15"/>
      <c r="I13" s="17">
        <v>407668</v>
      </c>
      <c r="J13" s="13"/>
      <c r="K13" s="8">
        <v>1100136</v>
      </c>
      <c r="L13" s="17">
        <v>135002</v>
      </c>
      <c r="R13" s="17"/>
      <c r="S13" s="17"/>
      <c r="T13" s="17"/>
      <c r="U13" s="17">
        <f>'[2]E-commerce'!$P$14</f>
        <v>78494.998400000055</v>
      </c>
      <c r="V13" s="17">
        <f>'[2]E-commerce'!$Q$14</f>
        <v>92171.882400000002</v>
      </c>
      <c r="W13" s="17">
        <f>'[2]E-commerce'!$R$14</f>
        <v>99901.900800000003</v>
      </c>
      <c r="X13" s="17">
        <f>'[2]E-commerce'!$S$14</f>
        <v>108338.152</v>
      </c>
      <c r="Y13" s="17">
        <f t="shared" si="1"/>
        <v>513908.93360000005</v>
      </c>
      <c r="Z13" s="17"/>
      <c r="XEQ13" s="8">
        <v>86250</v>
      </c>
    </row>
    <row r="14" spans="1:27 16371:16371" x14ac:dyDescent="0.25">
      <c r="A14" t="s">
        <v>67</v>
      </c>
      <c r="B14" s="15" t="e">
        <f>(#REF!-#REF!)/#REF!</f>
        <v>#REF!</v>
      </c>
      <c r="C14" s="15"/>
      <c r="D14" s="8">
        <v>855770</v>
      </c>
      <c r="G14" s="8">
        <f>I14-D14</f>
        <v>-811645</v>
      </c>
      <c r="H14" s="15">
        <f>G14/D14</f>
        <v>-0.94843824859483272</v>
      </c>
      <c r="I14" s="8">
        <f>L14</f>
        <v>44125</v>
      </c>
      <c r="J14" s="13"/>
      <c r="K14" s="8">
        <v>479821</v>
      </c>
      <c r="L14" s="17">
        <v>44125</v>
      </c>
      <c r="R14" s="17"/>
      <c r="S14" s="17"/>
      <c r="T14" s="17"/>
      <c r="U14" s="17">
        <v>0</v>
      </c>
      <c r="V14" s="17">
        <v>0</v>
      </c>
      <c r="W14" s="17">
        <v>0</v>
      </c>
      <c r="X14" s="17">
        <v>0</v>
      </c>
      <c r="Y14" s="17">
        <f>L14+SUM(U14:X14)</f>
        <v>44125</v>
      </c>
      <c r="Z14" s="17"/>
      <c r="XEQ14" s="8">
        <v>855770</v>
      </c>
    </row>
    <row r="15" spans="1:27 16371:16371" x14ac:dyDescent="0.25">
      <c r="A15" s="3" t="s">
        <v>9</v>
      </c>
      <c r="B15" s="24" t="e">
        <f>(#REF!-#REF!)/#REF!</f>
        <v>#REF!</v>
      </c>
      <c r="C15" s="15"/>
      <c r="D15" s="10">
        <f>SUM(D8:D14)</f>
        <v>29561728</v>
      </c>
      <c r="G15" s="10">
        <f>SUM(G8:G14)</f>
        <v>-22692986</v>
      </c>
      <c r="H15" s="15">
        <f>G15/D15</f>
        <v>-0.7676474798766838</v>
      </c>
      <c r="I15" s="10">
        <f>SUM(I8:I14)</f>
        <v>6868742</v>
      </c>
      <c r="J15" s="85"/>
      <c r="K15" s="10">
        <f>SUM(K8:K14)</f>
        <v>20046106</v>
      </c>
      <c r="L15" s="10">
        <f>SUM(L8:L14)</f>
        <v>3931483</v>
      </c>
      <c r="M15" s="17">
        <v>19174</v>
      </c>
      <c r="N15" s="17">
        <f>L15+M15</f>
        <v>3950657</v>
      </c>
      <c r="Q15" s="17">
        <f>SUM(N15:P15)</f>
        <v>3950657</v>
      </c>
      <c r="R15" s="17">
        <f>3669625</f>
        <v>3669625</v>
      </c>
      <c r="S15" s="17"/>
      <c r="T15" s="17">
        <v>1362598</v>
      </c>
      <c r="U15" s="10">
        <f t="shared" ref="U15:Y15" si="2">SUM(U8:U14)</f>
        <v>588382.53709039348</v>
      </c>
      <c r="V15" s="10">
        <f t="shared" si="2"/>
        <v>1223019.9745449717</v>
      </c>
      <c r="W15" s="10">
        <f t="shared" si="2"/>
        <v>1039515.3578627261</v>
      </c>
      <c r="X15" s="10">
        <f t="shared" si="2"/>
        <v>888092.67534178041</v>
      </c>
      <c r="Y15" s="10">
        <f t="shared" si="2"/>
        <v>7670493.544839872</v>
      </c>
      <c r="Z15" s="17">
        <f>Y15-I15</f>
        <v>801751.54483987205</v>
      </c>
      <c r="XEQ15" s="10">
        <f>SUM(XEQ8:XEQ14)</f>
        <v>29561728</v>
      </c>
    </row>
    <row r="16" spans="1:27 16371:16371" x14ac:dyDescent="0.25">
      <c r="B16" s="8"/>
      <c r="C16" s="8"/>
      <c r="I16" s="8"/>
      <c r="J16" s="13"/>
      <c r="R16" s="17"/>
      <c r="S16" s="17"/>
      <c r="T16" s="17"/>
      <c r="X16" s="17"/>
      <c r="Y16" s="17"/>
      <c r="Z16" s="17"/>
    </row>
    <row r="17" spans="1:27 16371:16371" x14ac:dyDescent="0.25">
      <c r="A17" s="2" t="s">
        <v>10</v>
      </c>
      <c r="B17" s="8"/>
      <c r="C17" s="8"/>
      <c r="R17" s="17"/>
      <c r="S17" s="17"/>
      <c r="T17" s="17"/>
      <c r="U17" s="17"/>
      <c r="V17" s="17"/>
      <c r="W17" s="17"/>
      <c r="X17" s="17"/>
      <c r="Y17" s="17"/>
      <c r="Z17" s="17"/>
    </row>
    <row r="18" spans="1:27 16371:16371" x14ac:dyDescent="0.25">
      <c r="A18" s="1" t="s">
        <v>11</v>
      </c>
      <c r="B18" s="15" t="e">
        <f>(#REF!-#REF!)/#REF!</f>
        <v>#REF!</v>
      </c>
      <c r="C18" s="15"/>
      <c r="D18" s="8">
        <v>6367754</v>
      </c>
      <c r="G18" s="8">
        <f t="shared" ref="G18:G19" si="3">I18-D18</f>
        <v>-5017588</v>
      </c>
      <c r="I18" s="17">
        <v>1350166</v>
      </c>
      <c r="J18" s="13"/>
      <c r="K18" s="8">
        <v>3257530</v>
      </c>
      <c r="L18" s="17">
        <v>1209194</v>
      </c>
      <c r="R18" s="17"/>
      <c r="S18" s="17"/>
      <c r="T18" s="17"/>
      <c r="U18" s="17">
        <f>50172-17421</f>
        <v>32751</v>
      </c>
      <c r="V18" s="17">
        <v>31000</v>
      </c>
      <c r="W18" s="17">
        <v>0</v>
      </c>
      <c r="X18" s="17">
        <v>105632</v>
      </c>
      <c r="Y18" s="17">
        <f t="shared" ref="Y18:Y20" si="4">L18+SUM(U18:X18)</f>
        <v>1378577</v>
      </c>
      <c r="Z18" s="17"/>
      <c r="XEQ18" s="8">
        <v>6367754</v>
      </c>
    </row>
    <row r="19" spans="1:27 16371:16371" x14ac:dyDescent="0.25">
      <c r="A19" s="1" t="s">
        <v>12</v>
      </c>
      <c r="B19" s="15" t="e">
        <f>(#REF!-#REF!)/#REF!</f>
        <v>#REF!</v>
      </c>
      <c r="C19" s="15"/>
      <c r="D19" s="8">
        <v>8232017</v>
      </c>
      <c r="G19" s="8">
        <f t="shared" si="3"/>
        <v>-6473639</v>
      </c>
      <c r="I19" s="17">
        <v>1758378</v>
      </c>
      <c r="J19" s="13"/>
      <c r="K19" s="8">
        <v>3354498</v>
      </c>
      <c r="L19" s="17">
        <v>1684124</v>
      </c>
      <c r="R19" s="17"/>
      <c r="S19" s="17"/>
      <c r="T19" s="17"/>
      <c r="U19" s="17">
        <f>25578-(27155/2)</f>
        <v>12000.5</v>
      </c>
      <c r="V19" s="17">
        <f>41750-(13578)</f>
        <v>28172</v>
      </c>
      <c r="W19" s="17">
        <v>0</v>
      </c>
      <c r="X19" s="17">
        <v>103206</v>
      </c>
      <c r="Y19" s="17">
        <f t="shared" si="4"/>
        <v>1827502.5</v>
      </c>
      <c r="Z19" s="17"/>
      <c r="XEQ19" s="8">
        <v>8232017</v>
      </c>
    </row>
    <row r="20" spans="1:27 16371:16371" x14ac:dyDescent="0.25">
      <c r="A20" s="4" t="s">
        <v>13</v>
      </c>
      <c r="B20" s="15" t="e">
        <f>(#REF!-#REF!)/#REF!</f>
        <v>#REF!</v>
      </c>
      <c r="C20" s="15"/>
      <c r="D20" s="8">
        <v>1280876</v>
      </c>
      <c r="G20" s="8">
        <f>I20-D20</f>
        <v>-1012588</v>
      </c>
      <c r="I20" s="17">
        <v>268288</v>
      </c>
      <c r="J20" s="13"/>
      <c r="K20" s="8">
        <v>761243</v>
      </c>
      <c r="L20" s="17">
        <v>214868</v>
      </c>
      <c r="R20" s="17"/>
      <c r="S20" s="17"/>
      <c r="T20" s="17"/>
      <c r="U20" s="17">
        <f>(I20-L20)/4</f>
        <v>13355</v>
      </c>
      <c r="V20" s="17">
        <f>U20</f>
        <v>13355</v>
      </c>
      <c r="W20" s="17">
        <f>V20</f>
        <v>13355</v>
      </c>
      <c r="X20" s="17">
        <f>W20</f>
        <v>13355</v>
      </c>
      <c r="Y20" s="17">
        <f t="shared" si="4"/>
        <v>268288</v>
      </c>
      <c r="Z20" s="17"/>
      <c r="XEQ20" s="8">
        <v>1280876</v>
      </c>
    </row>
    <row r="21" spans="1:27 16371:16371" x14ac:dyDescent="0.25">
      <c r="B21" s="15"/>
      <c r="C21" s="15"/>
      <c r="R21" s="17"/>
      <c r="S21" s="17"/>
      <c r="T21" s="17"/>
      <c r="U21" s="17"/>
      <c r="V21" s="17"/>
      <c r="W21" s="17"/>
      <c r="X21" s="17"/>
      <c r="Y21" s="17"/>
      <c r="Z21" s="17"/>
    </row>
    <row r="22" spans="1:27 16371:16371" x14ac:dyDescent="0.25">
      <c r="A22" s="3" t="s">
        <v>14</v>
      </c>
      <c r="B22" s="15" t="e">
        <f>(#REF!-#REF!)/#REF!</f>
        <v>#REF!</v>
      </c>
      <c r="C22" s="15"/>
      <c r="D22" s="10">
        <f>SUM(D18:D21)</f>
        <v>15880647</v>
      </c>
      <c r="G22" s="10">
        <f>SUM(G18:G21)</f>
        <v>-12503815</v>
      </c>
      <c r="H22" s="15">
        <f>G22/D22</f>
        <v>-0.78736181214782996</v>
      </c>
      <c r="I22" s="10">
        <f>SUM(I18:I21)</f>
        <v>3376832</v>
      </c>
      <c r="J22" s="85"/>
      <c r="K22" s="10">
        <f>SUM(K18:K21)</f>
        <v>7373271</v>
      </c>
      <c r="L22" s="10">
        <f>SUM(L18:L21)</f>
        <v>3108186</v>
      </c>
      <c r="M22" s="17">
        <v>60000</v>
      </c>
      <c r="N22" s="17">
        <f>L22+M22</f>
        <v>3168186</v>
      </c>
      <c r="Q22" s="17">
        <f>SUM(N22:P22)</f>
        <v>3168186</v>
      </c>
      <c r="R22" s="17">
        <f>3041325+36001</f>
        <v>3077326</v>
      </c>
      <c r="S22" s="17"/>
      <c r="T22" s="17">
        <v>187470</v>
      </c>
      <c r="U22" s="10">
        <f t="shared" ref="U22:X22" si="5">SUM(U18:U21)</f>
        <v>58106.5</v>
      </c>
      <c r="V22" s="10">
        <f t="shared" si="5"/>
        <v>72527</v>
      </c>
      <c r="W22" s="10">
        <f t="shared" si="5"/>
        <v>13355</v>
      </c>
      <c r="X22" s="10">
        <f t="shared" si="5"/>
        <v>222193</v>
      </c>
      <c r="Y22" s="10">
        <f>SUM(Y18:Y21)</f>
        <v>3474367.5</v>
      </c>
      <c r="Z22" s="17">
        <f>Y22-I22</f>
        <v>97535.5</v>
      </c>
      <c r="AA22" s="8">
        <f>Y15+Y22</f>
        <v>11144861.044839872</v>
      </c>
      <c r="XEQ22" s="10">
        <f>SUM(XEQ18:XEQ21)</f>
        <v>15880647</v>
      </c>
    </row>
    <row r="23" spans="1:27 16371:16371" x14ac:dyDescent="0.25">
      <c r="B23" s="8"/>
      <c r="C23" s="8"/>
      <c r="H23" s="1"/>
      <c r="I23" s="8"/>
      <c r="J23" s="13"/>
      <c r="R23" s="17"/>
      <c r="S23" s="17"/>
      <c r="T23" s="17"/>
      <c r="U23" s="17"/>
      <c r="V23" s="17"/>
      <c r="W23" s="17"/>
      <c r="X23" s="17"/>
      <c r="Y23" s="17"/>
      <c r="Z23" s="17"/>
    </row>
    <row r="24" spans="1:27 16371:16371" x14ac:dyDescent="0.25">
      <c r="B24" s="8"/>
      <c r="C24" s="8"/>
      <c r="H24" s="1"/>
      <c r="R24" s="17"/>
      <c r="S24" s="17"/>
      <c r="T24" s="17"/>
      <c r="U24" s="17"/>
      <c r="V24" s="17"/>
      <c r="W24" s="17"/>
      <c r="X24" s="17"/>
      <c r="Y24" s="17"/>
      <c r="Z24" s="17"/>
    </row>
    <row r="25" spans="1:27 16371:16371" x14ac:dyDescent="0.25">
      <c r="A25" s="2" t="s">
        <v>15</v>
      </c>
      <c r="B25" s="15" t="e">
        <f>(#REF!-#REF!)/#REF!</f>
        <v>#REF!</v>
      </c>
      <c r="C25" s="15"/>
      <c r="D25" s="8">
        <v>217500</v>
      </c>
      <c r="G25" s="8">
        <f>D25*H25</f>
        <v>-163125</v>
      </c>
      <c r="H25" s="18">
        <v>-0.75</v>
      </c>
      <c r="I25" s="17">
        <v>26922</v>
      </c>
      <c r="J25" s="13"/>
      <c r="K25" s="8">
        <v>100000</v>
      </c>
      <c r="L25" s="17">
        <v>26922</v>
      </c>
      <c r="M25" s="17">
        <v>0</v>
      </c>
      <c r="N25" s="17">
        <f t="shared" ref="N25:N30" si="6">L25+M25</f>
        <v>26922</v>
      </c>
      <c r="Q25" s="17">
        <f t="shared" ref="Q25:Q29" si="7">SUM(N25:P25)</f>
        <v>26922</v>
      </c>
      <c r="R25" s="17">
        <f>L25</f>
        <v>26922</v>
      </c>
      <c r="S25" s="17"/>
      <c r="T25" s="17">
        <f>(I25-R25)/5</f>
        <v>0</v>
      </c>
      <c r="U25" s="17">
        <f>(I25-L25)/4</f>
        <v>0</v>
      </c>
      <c r="V25" s="17">
        <f t="shared" ref="V25:X25" si="8">U25</f>
        <v>0</v>
      </c>
      <c r="W25" s="17">
        <f t="shared" si="8"/>
        <v>0</v>
      </c>
      <c r="X25" s="17">
        <f t="shared" si="8"/>
        <v>0</v>
      </c>
      <c r="Y25" s="17">
        <f t="shared" ref="Y25:Y29" si="9">L25+SUM(U25:X25)</f>
        <v>26922</v>
      </c>
      <c r="Z25" s="17"/>
      <c r="XEQ25" s="8">
        <v>217500</v>
      </c>
    </row>
    <row r="26" spans="1:27 16371:16371" x14ac:dyDescent="0.25">
      <c r="A26" s="2" t="s">
        <v>16</v>
      </c>
      <c r="B26" s="15" t="e">
        <f>(#REF!-#REF!)/#REF!</f>
        <v>#REF!</v>
      </c>
      <c r="C26" s="15"/>
      <c r="D26" s="8">
        <v>154200</v>
      </c>
      <c r="G26" s="8">
        <f>I26-D26</f>
        <v>-107991</v>
      </c>
      <c r="H26" s="1"/>
      <c r="I26" s="17">
        <v>46209</v>
      </c>
      <c r="J26" s="13"/>
      <c r="K26" s="8">
        <v>55339</v>
      </c>
      <c r="L26" s="17">
        <v>28968</v>
      </c>
      <c r="M26" s="17">
        <v>241</v>
      </c>
      <c r="N26" s="17">
        <f t="shared" si="6"/>
        <v>29209</v>
      </c>
      <c r="Q26" s="17">
        <f t="shared" si="7"/>
        <v>29209</v>
      </c>
      <c r="R26" s="17">
        <f t="shared" ref="R26:R29" si="10">L26</f>
        <v>28968</v>
      </c>
      <c r="S26" s="17"/>
      <c r="T26" s="17">
        <f>(I26-R26)/5</f>
        <v>3448.2</v>
      </c>
      <c r="U26" s="17">
        <f>(I26-L26)/4</f>
        <v>4310.25</v>
      </c>
      <c r="V26" s="17">
        <f t="shared" ref="V26:V29" si="11">U26</f>
        <v>4310.25</v>
      </c>
      <c r="W26" s="17">
        <f t="shared" ref="W26:W29" si="12">V26</f>
        <v>4310.25</v>
      </c>
      <c r="X26" s="17">
        <f t="shared" ref="X26:X29" si="13">W26</f>
        <v>4310.25</v>
      </c>
      <c r="Y26" s="17">
        <f t="shared" si="9"/>
        <v>46209</v>
      </c>
      <c r="Z26" s="17"/>
      <c r="XEQ26" s="8">
        <v>154200</v>
      </c>
    </row>
    <row r="27" spans="1:27 16371:16371" x14ac:dyDescent="0.25">
      <c r="A27" s="2" t="s">
        <v>17</v>
      </c>
      <c r="B27" s="15" t="e">
        <f>(#REF!-#REF!)/#REF!</f>
        <v>#REF!</v>
      </c>
      <c r="C27" s="15"/>
      <c r="D27" s="8">
        <v>15016</v>
      </c>
      <c r="G27" s="8">
        <f>I27-D27</f>
        <v>6483</v>
      </c>
      <c r="H27" s="18"/>
      <c r="I27" s="17">
        <v>21499</v>
      </c>
      <c r="J27" s="13"/>
      <c r="K27" s="8">
        <v>17400</v>
      </c>
      <c r="L27" s="17">
        <v>17366</v>
      </c>
      <c r="M27" s="17">
        <v>1370</v>
      </c>
      <c r="N27" s="17">
        <f t="shared" si="6"/>
        <v>18736</v>
      </c>
      <c r="Q27" s="17">
        <f t="shared" si="7"/>
        <v>18736</v>
      </c>
      <c r="R27" s="17">
        <f t="shared" si="10"/>
        <v>17366</v>
      </c>
      <c r="S27" s="17"/>
      <c r="T27" s="17">
        <f>(I27-R27)/5</f>
        <v>826.6</v>
      </c>
      <c r="U27" s="17">
        <f>(I27-L27)/4</f>
        <v>1033.25</v>
      </c>
      <c r="V27" s="17">
        <f t="shared" si="11"/>
        <v>1033.25</v>
      </c>
      <c r="W27" s="17">
        <f t="shared" si="12"/>
        <v>1033.25</v>
      </c>
      <c r="X27" s="17">
        <f t="shared" si="13"/>
        <v>1033.25</v>
      </c>
      <c r="Y27" s="17">
        <f t="shared" si="9"/>
        <v>21499</v>
      </c>
      <c r="Z27" s="17"/>
      <c r="XEQ27" s="8">
        <v>15016</v>
      </c>
    </row>
    <row r="28" spans="1:27 16371:16371" x14ac:dyDescent="0.25">
      <c r="A28" s="2" t="s">
        <v>18</v>
      </c>
      <c r="B28" s="15" t="e">
        <f>(#REF!-#REF!)/#REF!</f>
        <v>#REF!</v>
      </c>
      <c r="C28" s="15"/>
      <c r="D28" s="8">
        <v>118645</v>
      </c>
      <c r="G28" s="8">
        <f>D28*H28</f>
        <v>-83051.5</v>
      </c>
      <c r="H28" s="18">
        <v>-0.7</v>
      </c>
      <c r="I28" s="17">
        <v>35495</v>
      </c>
      <c r="J28" s="13"/>
      <c r="K28" s="8">
        <v>43025</v>
      </c>
      <c r="L28" s="17">
        <v>24897</v>
      </c>
      <c r="M28" s="17">
        <v>2000</v>
      </c>
      <c r="N28" s="17">
        <f t="shared" si="6"/>
        <v>26897</v>
      </c>
      <c r="Q28" s="17">
        <f t="shared" si="7"/>
        <v>26897</v>
      </c>
      <c r="R28" s="17">
        <f t="shared" si="10"/>
        <v>24897</v>
      </c>
      <c r="S28" s="17"/>
      <c r="T28" s="17">
        <f>(I28-R28)/5</f>
        <v>2119.6</v>
      </c>
      <c r="U28" s="17">
        <f>(I28-L28)/4</f>
        <v>2649.5</v>
      </c>
      <c r="V28" s="17">
        <f t="shared" si="11"/>
        <v>2649.5</v>
      </c>
      <c r="W28" s="17">
        <f t="shared" si="12"/>
        <v>2649.5</v>
      </c>
      <c r="X28" s="17">
        <f t="shared" si="13"/>
        <v>2649.5</v>
      </c>
      <c r="Y28" s="17">
        <f t="shared" si="9"/>
        <v>35495</v>
      </c>
      <c r="Z28" s="17"/>
      <c r="XEQ28" s="8">
        <v>118645</v>
      </c>
    </row>
    <row r="29" spans="1:27 16371:16371" x14ac:dyDescent="0.25">
      <c r="A29" s="2" t="s">
        <v>19</v>
      </c>
      <c r="B29" s="15" t="e">
        <f>(#REF!-#REF!)/#REF!</f>
        <v>#REF!</v>
      </c>
      <c r="C29" s="15"/>
      <c r="D29" s="8">
        <v>737500</v>
      </c>
      <c r="G29" s="17">
        <f>I29-D29</f>
        <v>-424650</v>
      </c>
      <c r="H29" s="1"/>
      <c r="I29" s="17">
        <v>312850</v>
      </c>
      <c r="J29" s="13"/>
      <c r="K29" s="8">
        <v>80000</v>
      </c>
      <c r="L29" s="17">
        <v>256076</v>
      </c>
      <c r="M29" s="17">
        <v>2802</v>
      </c>
      <c r="N29" s="17">
        <f t="shared" si="6"/>
        <v>258878</v>
      </c>
      <c r="Q29" s="17">
        <f t="shared" si="7"/>
        <v>258878</v>
      </c>
      <c r="R29" s="17">
        <f t="shared" si="10"/>
        <v>256076</v>
      </c>
      <c r="S29" s="17"/>
      <c r="T29" s="17">
        <f>(I29-R29)/5</f>
        <v>11354.8</v>
      </c>
      <c r="U29" s="17">
        <f>(I29-L29)/4</f>
        <v>14193.5</v>
      </c>
      <c r="V29" s="17">
        <f t="shared" si="11"/>
        <v>14193.5</v>
      </c>
      <c r="W29" s="17">
        <f t="shared" si="12"/>
        <v>14193.5</v>
      </c>
      <c r="X29" s="17">
        <f t="shared" si="13"/>
        <v>14193.5</v>
      </c>
      <c r="Y29" s="17">
        <f t="shared" si="9"/>
        <v>312850</v>
      </c>
      <c r="Z29" s="17"/>
      <c r="XEQ29" s="8">
        <v>737500</v>
      </c>
    </row>
    <row r="30" spans="1:27 16371:16371" x14ac:dyDescent="0.25">
      <c r="A30" s="3" t="s">
        <v>20</v>
      </c>
      <c r="B30" s="20" t="e">
        <f>(#REF!-#REF!)/#REF!</f>
        <v>#REF!</v>
      </c>
      <c r="C30" s="15"/>
      <c r="D30" s="10">
        <f>SUM(D25:D29)+D22+D15</f>
        <v>46685236</v>
      </c>
      <c r="G30" s="10">
        <f>SUM(G25:G29)+G22+G15</f>
        <v>-35969135.5</v>
      </c>
      <c r="I30" s="10">
        <f>SUM(I25:I29)+I22+I15</f>
        <v>10688549</v>
      </c>
      <c r="J30" s="85"/>
      <c r="K30" s="10">
        <f>SUM(K25:K29)+K22+K15</f>
        <v>27715141</v>
      </c>
      <c r="L30" s="10">
        <f>SUM(L25:L29)+L22+L15</f>
        <v>7393898</v>
      </c>
      <c r="M30" s="10">
        <f t="shared" ref="M30:P30" si="14">SUM(M25:M29)+M22+M15</f>
        <v>85587</v>
      </c>
      <c r="N30" s="66">
        <f t="shared" si="6"/>
        <v>7479485</v>
      </c>
      <c r="O30" s="10">
        <f t="shared" si="14"/>
        <v>0</v>
      </c>
      <c r="P30" s="10">
        <f t="shared" si="14"/>
        <v>0</v>
      </c>
      <c r="Q30" s="10">
        <f>SUM(Q25:Q29)+Q22+Q15</f>
        <v>7479485</v>
      </c>
      <c r="R30" s="10">
        <f>SUM(R25:R29)+R22+R15</f>
        <v>7101180</v>
      </c>
      <c r="S30" s="17"/>
      <c r="T30" s="10">
        <f>SUM(T25:T29)+T22+T15</f>
        <v>1567817.2</v>
      </c>
      <c r="U30" s="10">
        <f t="shared" ref="U30:Y30" si="15">SUM(U25:U29)+U22+U15</f>
        <v>668675.53709039348</v>
      </c>
      <c r="V30" s="10">
        <f t="shared" si="15"/>
        <v>1317733.4745449717</v>
      </c>
      <c r="W30" s="10">
        <f t="shared" si="15"/>
        <v>1075056.8578627261</v>
      </c>
      <c r="X30" s="10">
        <f t="shared" si="15"/>
        <v>1132472.1753417803</v>
      </c>
      <c r="Y30" s="10">
        <f t="shared" si="15"/>
        <v>11587836.044839872</v>
      </c>
      <c r="Z30" s="17">
        <f>Y30-I30</f>
        <v>899287.04483987205</v>
      </c>
      <c r="XEQ30" s="10">
        <f>SUM(XEQ25:XEQ29)+XEQ22+XEQ15</f>
        <v>46685236</v>
      </c>
    </row>
    <row r="31" spans="1:27 16371:16371" x14ac:dyDescent="0.25">
      <c r="B31" s="8"/>
      <c r="C31" s="8"/>
      <c r="I31" s="8"/>
      <c r="J31" s="1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7"/>
      <c r="W31" s="17"/>
      <c r="X31" s="17"/>
      <c r="Y31" s="17"/>
      <c r="Z31" s="17"/>
    </row>
    <row r="32" spans="1:27 16371:16371" x14ac:dyDescent="0.25">
      <c r="A32" s="2" t="s">
        <v>21</v>
      </c>
      <c r="B32" s="8"/>
      <c r="C32" s="8"/>
      <c r="R32" s="17"/>
      <c r="S32" s="17"/>
      <c r="T32" s="17"/>
      <c r="U32" s="17"/>
      <c r="V32" s="17"/>
      <c r="W32" s="17"/>
      <c r="X32" s="17"/>
      <c r="Y32" s="17"/>
      <c r="Z32" s="17"/>
    </row>
    <row r="33" spans="1:27 16371:16371" x14ac:dyDescent="0.25">
      <c r="A33" s="2" t="s">
        <v>22</v>
      </c>
      <c r="B33" s="8"/>
      <c r="C33" s="8"/>
      <c r="R33" s="17"/>
      <c r="S33" s="17"/>
      <c r="T33" s="17"/>
      <c r="U33" s="17"/>
      <c r="V33" s="17"/>
      <c r="W33" s="17"/>
      <c r="X33" s="17"/>
      <c r="Y33" s="17"/>
      <c r="Z33" s="17"/>
    </row>
    <row r="34" spans="1:27 16371:16371" x14ac:dyDescent="0.25">
      <c r="A34" t="s">
        <v>23</v>
      </c>
      <c r="B34" s="8"/>
      <c r="C34" s="8"/>
      <c r="D34" s="17">
        <f>2006250-372250-869000</f>
        <v>765000</v>
      </c>
      <c r="G34" s="8">
        <f>I34-D34</f>
        <v>897940</v>
      </c>
      <c r="H34" s="15"/>
      <c r="I34" s="17">
        <v>1662940</v>
      </c>
      <c r="J34" s="13"/>
      <c r="K34" s="17">
        <v>500000</v>
      </c>
      <c r="L34" s="17">
        <v>860749</v>
      </c>
      <c r="M34" s="17">
        <v>0</v>
      </c>
      <c r="N34" s="17">
        <f t="shared" ref="N34:N37" si="16">L34+M34</f>
        <v>860749</v>
      </c>
      <c r="Q34" s="17">
        <f t="shared" ref="Q34:Q36" si="17">SUM(N34:P34)</f>
        <v>860749</v>
      </c>
      <c r="R34" s="17">
        <f t="shared" ref="R34:R36" si="18">L34</f>
        <v>860749</v>
      </c>
      <c r="S34" s="17"/>
      <c r="T34" s="17"/>
      <c r="U34" s="17">
        <f>(I34-L34)/4</f>
        <v>200547.75</v>
      </c>
      <c r="V34" s="17">
        <f t="shared" ref="V34:V36" si="19">U34</f>
        <v>200547.75</v>
      </c>
      <c r="W34" s="17">
        <f t="shared" ref="W34:W36" si="20">V34</f>
        <v>200547.75</v>
      </c>
      <c r="X34" s="17">
        <f t="shared" ref="X34:X36" si="21">W34</f>
        <v>200547.75</v>
      </c>
      <c r="Y34" s="17">
        <f t="shared" ref="Y34:Y36" si="22">L34+SUM(U34:X34)</f>
        <v>1662940</v>
      </c>
      <c r="Z34" s="17"/>
      <c r="XEQ34" s="17">
        <f>2006250-372250-869000</f>
        <v>765000</v>
      </c>
    </row>
    <row r="35" spans="1:27 16371:16371" x14ac:dyDescent="0.25">
      <c r="A35" t="s">
        <v>24</v>
      </c>
      <c r="B35" s="8"/>
      <c r="C35" s="8"/>
      <c r="D35" s="8">
        <v>1255560</v>
      </c>
      <c r="G35" s="8">
        <f>D35*H35</f>
        <v>-313890</v>
      </c>
      <c r="H35" s="15">
        <f>-0.25</f>
        <v>-0.25</v>
      </c>
      <c r="I35" s="17">
        <v>1073533</v>
      </c>
      <c r="J35" s="13"/>
      <c r="K35" s="8">
        <v>890000</v>
      </c>
      <c r="L35" s="17">
        <v>520414</v>
      </c>
      <c r="M35" s="17">
        <v>11020</v>
      </c>
      <c r="N35" s="17">
        <f t="shared" si="16"/>
        <v>531434</v>
      </c>
      <c r="Q35" s="17">
        <f t="shared" si="17"/>
        <v>531434</v>
      </c>
      <c r="R35" s="17">
        <f t="shared" si="18"/>
        <v>520414</v>
      </c>
      <c r="S35" s="17"/>
      <c r="T35" s="17"/>
      <c r="U35" s="17">
        <f>(I35-L35)/4</f>
        <v>138279.75</v>
      </c>
      <c r="V35" s="17">
        <f t="shared" si="19"/>
        <v>138279.75</v>
      </c>
      <c r="W35" s="17">
        <f t="shared" si="20"/>
        <v>138279.75</v>
      </c>
      <c r="X35" s="17">
        <f t="shared" si="21"/>
        <v>138279.75</v>
      </c>
      <c r="Y35" s="17">
        <f t="shared" si="22"/>
        <v>1073533</v>
      </c>
      <c r="Z35" s="17"/>
      <c r="XEQ35" s="8">
        <v>1255560</v>
      </c>
    </row>
    <row r="36" spans="1:27 16371:16371" x14ac:dyDescent="0.25">
      <c r="A36" t="s">
        <v>25</v>
      </c>
      <c r="B36" s="8"/>
      <c r="C36" s="8"/>
      <c r="D36" s="8">
        <v>1002295</v>
      </c>
      <c r="G36" s="8">
        <f t="shared" ref="G36" si="23">D36*H36</f>
        <v>-100229.5</v>
      </c>
      <c r="H36" s="15">
        <v>-0.1</v>
      </c>
      <c r="I36" s="17">
        <v>473730</v>
      </c>
      <c r="J36" s="13"/>
      <c r="K36" s="8">
        <v>605000</v>
      </c>
      <c r="L36" s="17">
        <v>121588</v>
      </c>
      <c r="M36" s="17">
        <v>9000</v>
      </c>
      <c r="N36" s="17">
        <f t="shared" si="16"/>
        <v>130588</v>
      </c>
      <c r="Q36" s="17">
        <f t="shared" si="17"/>
        <v>130588</v>
      </c>
      <c r="R36" s="17">
        <f t="shared" si="18"/>
        <v>121588</v>
      </c>
      <c r="S36" s="17"/>
      <c r="T36" s="17"/>
      <c r="U36" s="17">
        <f>(I36-L36)/4</f>
        <v>88035.5</v>
      </c>
      <c r="V36" s="17">
        <f t="shared" si="19"/>
        <v>88035.5</v>
      </c>
      <c r="W36" s="17">
        <f t="shared" si="20"/>
        <v>88035.5</v>
      </c>
      <c r="X36" s="17">
        <f t="shared" si="21"/>
        <v>88035.5</v>
      </c>
      <c r="Y36" s="17">
        <f t="shared" si="22"/>
        <v>473730</v>
      </c>
      <c r="Z36" s="17"/>
      <c r="XEQ36" s="8">
        <v>1002295</v>
      </c>
    </row>
    <row r="37" spans="1:27 16371:16371" x14ac:dyDescent="0.25">
      <c r="A37" s="3" t="s">
        <v>26</v>
      </c>
      <c r="B37" s="8"/>
      <c r="C37" s="8"/>
      <c r="D37" s="10">
        <f>SUM(D34:D36)</f>
        <v>3022855</v>
      </c>
      <c r="G37" s="10">
        <f>SUM(G34:G36)</f>
        <v>483820.5</v>
      </c>
      <c r="I37" s="10">
        <f>SUM(I34:I36)</f>
        <v>3210203</v>
      </c>
      <c r="J37" s="85"/>
      <c r="K37" s="10">
        <f>SUM(K34:K36)</f>
        <v>1995000</v>
      </c>
      <c r="L37" s="10">
        <f>SUM(L34:L36)</f>
        <v>1502751</v>
      </c>
      <c r="M37" s="10">
        <f t="shared" ref="M37:P37" si="24">SUM(M34:M36)</f>
        <v>20020</v>
      </c>
      <c r="N37" s="66">
        <f t="shared" si="16"/>
        <v>1522771</v>
      </c>
      <c r="O37" s="10">
        <f t="shared" si="24"/>
        <v>0</v>
      </c>
      <c r="P37" s="10">
        <f t="shared" si="24"/>
        <v>0</v>
      </c>
      <c r="Q37" s="10">
        <f>SUM(Q34:Q36)</f>
        <v>1522771</v>
      </c>
      <c r="R37" s="10">
        <f>SUM(R34:R36)</f>
        <v>1502751</v>
      </c>
      <c r="S37" s="17"/>
      <c r="T37" s="17">
        <f>($I$37-$R$37)/5</f>
        <v>341490.4</v>
      </c>
      <c r="U37" s="10">
        <f t="shared" ref="U37:X37" si="25">SUM(U34:U36)</f>
        <v>426863</v>
      </c>
      <c r="V37" s="10">
        <f t="shared" si="25"/>
        <v>426863</v>
      </c>
      <c r="W37" s="10">
        <f t="shared" si="25"/>
        <v>426863</v>
      </c>
      <c r="X37" s="10">
        <f t="shared" si="25"/>
        <v>426863</v>
      </c>
      <c r="Y37" s="10">
        <f>SUM(Y34:Y36)</f>
        <v>3210203</v>
      </c>
      <c r="Z37" s="17">
        <f>Y37-I37</f>
        <v>0</v>
      </c>
      <c r="XEQ37" s="10">
        <f>SUM(XEQ34:XEQ36)</f>
        <v>3022855</v>
      </c>
    </row>
    <row r="38" spans="1:27 16371:16371" x14ac:dyDescent="0.25">
      <c r="A38" s="3"/>
      <c r="B38" s="8"/>
      <c r="C38" s="8"/>
      <c r="I38" s="8"/>
      <c r="J38" s="13"/>
      <c r="R38" s="17"/>
      <c r="S38" s="17"/>
      <c r="T38" s="17"/>
      <c r="U38" s="17"/>
      <c r="V38" s="17"/>
      <c r="W38" s="17"/>
      <c r="X38" s="17"/>
      <c r="Y38" s="17"/>
      <c r="Z38" s="17"/>
    </row>
    <row r="39" spans="1:27 16371:16371" x14ac:dyDescent="0.25">
      <c r="A39" s="2" t="s">
        <v>27</v>
      </c>
      <c r="B39" s="8"/>
      <c r="C39" s="8"/>
      <c r="R39" s="17"/>
      <c r="S39" s="17"/>
      <c r="T39" s="17"/>
      <c r="U39" s="17"/>
      <c r="V39" s="17"/>
      <c r="W39" s="17"/>
      <c r="X39" s="17"/>
      <c r="Y39" s="17"/>
      <c r="Z39" s="17"/>
    </row>
    <row r="40" spans="1:27 16371:16371" x14ac:dyDescent="0.25">
      <c r="A40" t="s">
        <v>28</v>
      </c>
      <c r="B40" s="14" t="e">
        <f>#REF!</f>
        <v>#REF!</v>
      </c>
      <c r="C40" s="14"/>
      <c r="D40" s="8">
        <v>296000</v>
      </c>
      <c r="G40" s="17">
        <f>I40-D40</f>
        <v>33297</v>
      </c>
      <c r="H40" s="15">
        <f>G40/D40</f>
        <v>0.11248986486486487</v>
      </c>
      <c r="I40" s="8">
        <f>L40</f>
        <v>329297</v>
      </c>
      <c r="J40" s="13"/>
      <c r="K40" s="8">
        <v>300000</v>
      </c>
      <c r="L40" s="17">
        <v>329297</v>
      </c>
      <c r="M40" s="17">
        <v>5704</v>
      </c>
      <c r="N40" s="17">
        <f t="shared" ref="N40:N41" si="26">L40+M40</f>
        <v>335001</v>
      </c>
      <c r="Q40" s="17">
        <f>SUM(N40:P40)</f>
        <v>335001</v>
      </c>
      <c r="R40" s="17">
        <f>L40</f>
        <v>329297</v>
      </c>
      <c r="S40" s="17"/>
      <c r="T40" s="17"/>
      <c r="U40" s="17">
        <f>(I40-L40)/4</f>
        <v>0</v>
      </c>
      <c r="V40" s="17">
        <f t="shared" ref="V40" si="27">U40</f>
        <v>0</v>
      </c>
      <c r="W40" s="17">
        <f t="shared" ref="W40" si="28">V40</f>
        <v>0</v>
      </c>
      <c r="X40" s="17">
        <f t="shared" ref="X40" si="29">W40</f>
        <v>0</v>
      </c>
      <c r="Y40" s="17">
        <f t="shared" ref="Y40" si="30">L40+SUM(U40:X40)</f>
        <v>329297</v>
      </c>
      <c r="Z40" s="17"/>
      <c r="XEQ40" s="8">
        <v>296000</v>
      </c>
    </row>
    <row r="41" spans="1:27 16371:16371" x14ac:dyDescent="0.25">
      <c r="A41" s="3" t="s">
        <v>29</v>
      </c>
      <c r="B41" s="8"/>
      <c r="C41" s="8"/>
      <c r="D41" s="10">
        <f>SUM(D40:D40)</f>
        <v>296000</v>
      </c>
      <c r="G41" s="10">
        <f>SUM(G40:G40)</f>
        <v>33297</v>
      </c>
      <c r="I41" s="10">
        <f>SUM(I40:I40)</f>
        <v>329297</v>
      </c>
      <c r="J41" s="85"/>
      <c r="K41" s="10">
        <f>SUM(K40:K40)</f>
        <v>300000</v>
      </c>
      <c r="L41" s="10">
        <f>SUM(L40:L40)</f>
        <v>329297</v>
      </c>
      <c r="M41" s="10">
        <f>SUM(M40:M40)</f>
        <v>5704</v>
      </c>
      <c r="N41" s="66">
        <f t="shared" si="26"/>
        <v>335001</v>
      </c>
      <c r="O41" s="10"/>
      <c r="P41" s="10"/>
      <c r="Q41" s="10">
        <f>SUM(Q40:Q40)</f>
        <v>335001</v>
      </c>
      <c r="R41" s="10">
        <f>SUM(R40:R40)</f>
        <v>329297</v>
      </c>
      <c r="S41" s="17"/>
      <c r="T41" s="17">
        <f>I41-R41</f>
        <v>0</v>
      </c>
      <c r="U41" s="10">
        <f t="shared" ref="U41:X41" si="31">SUM(U40:U40)</f>
        <v>0</v>
      </c>
      <c r="V41" s="10">
        <f t="shared" si="31"/>
        <v>0</v>
      </c>
      <c r="W41" s="10">
        <f t="shared" si="31"/>
        <v>0</v>
      </c>
      <c r="X41" s="10">
        <f t="shared" si="31"/>
        <v>0</v>
      </c>
      <c r="Y41" s="29">
        <f>SUM(R41:X41)</f>
        <v>329297</v>
      </c>
      <c r="Z41" s="17">
        <f>Y41-I41</f>
        <v>0</v>
      </c>
      <c r="XEQ41" s="10">
        <f>SUM(XEQ40:XEQ40)</f>
        <v>296000</v>
      </c>
    </row>
    <row r="42" spans="1:27 16371:16371" x14ac:dyDescent="0.25">
      <c r="B42" s="8"/>
      <c r="C42" s="8"/>
      <c r="I42" s="8"/>
      <c r="J42" s="13"/>
      <c r="L42" s="8"/>
      <c r="M42" s="8"/>
      <c r="N42" s="8"/>
      <c r="O42" s="8"/>
      <c r="P42" s="8"/>
      <c r="Q42" s="8"/>
      <c r="R42" s="17"/>
      <c r="S42" s="17"/>
      <c r="T42" s="17"/>
      <c r="U42" s="17"/>
      <c r="V42" s="17"/>
      <c r="W42" s="17"/>
      <c r="X42" s="17"/>
      <c r="Y42" s="17"/>
      <c r="Z42" s="17"/>
    </row>
    <row r="43" spans="1:27 16371:16371" x14ac:dyDescent="0.25">
      <c r="A43" s="3" t="s">
        <v>30</v>
      </c>
      <c r="B43" s="20" t="e">
        <f>(#REF!-#REF!)/#REF!</f>
        <v>#REF!</v>
      </c>
      <c r="C43" s="8"/>
      <c r="D43" s="10">
        <f>D37+D41</f>
        <v>3318855</v>
      </c>
      <c r="G43" s="10">
        <f>G37+G41</f>
        <v>517117.5</v>
      </c>
      <c r="H43" s="15">
        <f>G43/D43</f>
        <v>0.15581201950672746</v>
      </c>
      <c r="I43" s="10">
        <f>I37+I41</f>
        <v>3539500</v>
      </c>
      <c r="J43" s="85"/>
      <c r="K43" s="10">
        <f>K37+K41</f>
        <v>2295000</v>
      </c>
      <c r="L43" s="10">
        <f>L37+L41</f>
        <v>1832048</v>
      </c>
      <c r="M43" s="10">
        <f>M37+M41</f>
        <v>25724</v>
      </c>
      <c r="N43" s="66">
        <f t="shared" ref="N43" si="32">L43+M43</f>
        <v>1857772</v>
      </c>
      <c r="O43" s="10"/>
      <c r="P43" s="10"/>
      <c r="Q43" s="10">
        <f>Q37+Q41</f>
        <v>1857772</v>
      </c>
      <c r="R43" s="10">
        <f>R37+R41</f>
        <v>1832048</v>
      </c>
      <c r="S43" s="17"/>
      <c r="T43" s="10">
        <f t="shared" ref="T43:X43" si="33">T37+T41</f>
        <v>341490.4</v>
      </c>
      <c r="U43" s="10">
        <f>U37+U41</f>
        <v>426863</v>
      </c>
      <c r="V43" s="10">
        <f t="shared" si="33"/>
        <v>426863</v>
      </c>
      <c r="W43" s="10">
        <f t="shared" si="33"/>
        <v>426863</v>
      </c>
      <c r="X43" s="10">
        <f t="shared" si="33"/>
        <v>426863</v>
      </c>
      <c r="Y43" s="10">
        <f>Y37+Y41</f>
        <v>3539500</v>
      </c>
      <c r="Z43" s="17">
        <f>Y43-I43</f>
        <v>0</v>
      </c>
      <c r="XEQ43" s="10">
        <f>XEQ37+XEQ41</f>
        <v>3318855</v>
      </c>
    </row>
    <row r="44" spans="1:27 16371:16371" x14ac:dyDescent="0.25">
      <c r="A44" s="3"/>
      <c r="B44" s="20"/>
      <c r="C44" s="8"/>
      <c r="D44" s="85"/>
      <c r="G44" s="85"/>
      <c r="H44" s="15"/>
      <c r="I44" s="85"/>
      <c r="J44" s="85"/>
      <c r="K44" s="85"/>
      <c r="L44" s="85"/>
      <c r="M44" s="85"/>
      <c r="N44" s="86"/>
      <c r="O44" s="85"/>
      <c r="P44" s="85"/>
      <c r="Q44" s="85"/>
      <c r="R44" s="85"/>
      <c r="S44" s="17"/>
      <c r="T44" s="85"/>
      <c r="U44" s="85"/>
      <c r="V44" s="85"/>
      <c r="W44" s="85"/>
      <c r="X44" s="85"/>
      <c r="Y44" s="85"/>
      <c r="Z44" s="17"/>
      <c r="XEQ44" s="85"/>
    </row>
    <row r="45" spans="1:27 16371:16371" ht="15.75" thickBot="1" x14ac:dyDescent="0.3">
      <c r="A45" s="2" t="s">
        <v>31</v>
      </c>
      <c r="B45" s="20" t="e">
        <f>(#REF!-#REF!)/#REF!</f>
        <v>#REF!</v>
      </c>
      <c r="C45" s="15"/>
      <c r="D45" s="11">
        <f>D30+D43</f>
        <v>50004091</v>
      </c>
      <c r="G45" s="11">
        <f>G30+G43</f>
        <v>-35452018</v>
      </c>
      <c r="I45" s="11">
        <f>I30+I43</f>
        <v>14228049</v>
      </c>
      <c r="J45" s="85"/>
      <c r="K45" s="11">
        <f>K30+K43</f>
        <v>30010141</v>
      </c>
      <c r="L45" s="11">
        <f>L30+L43</f>
        <v>9225946</v>
      </c>
      <c r="M45" s="11">
        <f>M30+M43</f>
        <v>111311</v>
      </c>
      <c r="N45" s="55">
        <f>L45+M45</f>
        <v>9337257</v>
      </c>
      <c r="O45" s="11">
        <f>O30+O43</f>
        <v>0</v>
      </c>
      <c r="P45" s="11">
        <f>P30+P43</f>
        <v>0</v>
      </c>
      <c r="Q45" s="11">
        <f>Q30+Q43</f>
        <v>9337257</v>
      </c>
      <c r="R45" s="11">
        <f>R30+R43</f>
        <v>8933228</v>
      </c>
      <c r="S45" s="17"/>
      <c r="T45" s="11">
        <f t="shared" ref="T45:Y45" si="34">T30+T43</f>
        <v>1909307.6</v>
      </c>
      <c r="U45" s="11">
        <f t="shared" si="34"/>
        <v>1095538.5370903935</v>
      </c>
      <c r="V45" s="11">
        <f t="shared" si="34"/>
        <v>1744596.4745449717</v>
      </c>
      <c r="W45" s="11">
        <f t="shared" si="34"/>
        <v>1501919.8578627261</v>
      </c>
      <c r="X45" s="11">
        <f t="shared" si="34"/>
        <v>1559335.1753417803</v>
      </c>
      <c r="Y45" s="11">
        <f t="shared" si="34"/>
        <v>15127336.044839872</v>
      </c>
      <c r="Z45" s="17">
        <f>Y45-I45</f>
        <v>899287.04483987205</v>
      </c>
      <c r="AA45" s="65" t="s">
        <v>211</v>
      </c>
      <c r="XEQ45" s="11">
        <f>XEQ30+XEQ43</f>
        <v>50004091</v>
      </c>
    </row>
    <row r="46" spans="1:27 16371:16371" ht="15.75" thickTop="1" x14ac:dyDescent="0.25">
      <c r="B46" s="8"/>
      <c r="C46" s="8"/>
      <c r="I46" s="8"/>
      <c r="J46" s="13"/>
      <c r="N46" s="17">
        <f>N43+N30</f>
        <v>9337257</v>
      </c>
      <c r="Q46" s="17">
        <f>SUM(N45:P45)</f>
        <v>9337257</v>
      </c>
      <c r="R46" s="17"/>
      <c r="S46" s="17"/>
      <c r="T46" s="17"/>
      <c r="U46" s="17"/>
      <c r="V46" s="17"/>
      <c r="W46" s="17"/>
      <c r="X46" s="17"/>
      <c r="Y46" s="17">
        <f>L45+SUM(U45:X45)</f>
        <v>15127336.04483987</v>
      </c>
      <c r="AA46" s="27">
        <f>I45+2700000</f>
        <v>16928049</v>
      </c>
    </row>
    <row r="47" spans="1:27 16371:16371" x14ac:dyDescent="0.25">
      <c r="A47" s="1"/>
      <c r="B47" s="8"/>
      <c r="C47" s="8"/>
      <c r="R47" s="17"/>
      <c r="S47" s="17"/>
      <c r="T47" s="17"/>
      <c r="U47" s="17"/>
      <c r="V47" s="17"/>
      <c r="W47" s="17"/>
      <c r="X47" s="17"/>
      <c r="Y47" s="17"/>
      <c r="Z47" s="17"/>
    </row>
    <row r="48" spans="1:27 16371:16371" x14ac:dyDescent="0.25">
      <c r="A48" s="2" t="s">
        <v>32</v>
      </c>
      <c r="B48" s="8"/>
      <c r="C48" s="8"/>
      <c r="R48" s="17"/>
      <c r="S48" s="17"/>
      <c r="T48" s="17"/>
      <c r="U48" s="17"/>
      <c r="V48" s="17"/>
      <c r="W48" s="17"/>
      <c r="X48" s="17"/>
      <c r="Y48" s="17"/>
      <c r="Z48" s="17"/>
    </row>
    <row r="49" spans="1:26 16371:16371" x14ac:dyDescent="0.25">
      <c r="A49" s="2" t="s">
        <v>33</v>
      </c>
      <c r="B49" s="8"/>
      <c r="C49" s="8"/>
      <c r="R49" s="17"/>
      <c r="S49" s="17" t="s">
        <v>216</v>
      </c>
      <c r="T49" s="17"/>
      <c r="U49" s="17"/>
      <c r="V49" s="17"/>
      <c r="W49" s="17"/>
      <c r="X49" s="17"/>
      <c r="Y49" s="17"/>
      <c r="Z49" s="17"/>
    </row>
    <row r="50" spans="1:26 16371:16371" x14ac:dyDescent="0.25">
      <c r="A50" s="5" t="s">
        <v>34</v>
      </c>
      <c r="B50" s="8"/>
      <c r="C50" s="8"/>
      <c r="D50" s="8">
        <v>334941</v>
      </c>
      <c r="F50" s="15">
        <v>6.7000000000000004E-2</v>
      </c>
      <c r="G50" s="8">
        <f>I50-D50</f>
        <v>-256634</v>
      </c>
      <c r="I50" s="17">
        <v>78307</v>
      </c>
      <c r="J50" s="13"/>
      <c r="K50" s="8">
        <v>248835</v>
      </c>
      <c r="L50" s="17">
        <v>66612</v>
      </c>
      <c r="R50" s="17"/>
      <c r="S50" s="17" t="s">
        <v>215</v>
      </c>
      <c r="T50" s="17"/>
      <c r="U50" s="17">
        <f>(I50-L50)/4</f>
        <v>2923.75</v>
      </c>
      <c r="V50" s="17">
        <f>U50</f>
        <v>2923.75</v>
      </c>
      <c r="W50" s="17">
        <f>V50</f>
        <v>2923.75</v>
      </c>
      <c r="X50" s="17">
        <f>W50</f>
        <v>2923.75</v>
      </c>
      <c r="Y50" s="17">
        <f>L50+SUM(U50:X50)</f>
        <v>78307</v>
      </c>
      <c r="Z50" s="17">
        <f>Y50-I50</f>
        <v>0</v>
      </c>
      <c r="XEQ50" s="8">
        <v>334941</v>
      </c>
    </row>
    <row r="51" spans="1:26 16371:16371" x14ac:dyDescent="0.25">
      <c r="A51" s="5" t="s">
        <v>4</v>
      </c>
      <c r="B51" s="8"/>
      <c r="C51" s="8"/>
      <c r="D51" s="8">
        <v>2642997</v>
      </c>
      <c r="F51" s="15">
        <v>0.53900000000000003</v>
      </c>
      <c r="G51" s="8">
        <f t="shared" ref="G51:G56" si="35">I51-D51</f>
        <v>-1916597</v>
      </c>
      <c r="I51" s="17">
        <v>726400</v>
      </c>
      <c r="J51" s="13"/>
      <c r="K51" s="8">
        <v>2043491</v>
      </c>
      <c r="L51" s="17">
        <v>367473</v>
      </c>
      <c r="R51" s="17"/>
      <c r="S51" s="17">
        <v>454134</v>
      </c>
      <c r="T51" s="17"/>
      <c r="U51" s="17">
        <f>$L$51/$L$9*U9-7415</f>
        <v>68926.088731462442</v>
      </c>
      <c r="V51" s="17">
        <f>$L$51/$L$9*V9</f>
        <v>141784.14565396248</v>
      </c>
      <c r="W51" s="17">
        <f>$L$51/$L$9*W9</f>
        <v>130336.66505308927</v>
      </c>
      <c r="X51" s="17">
        <f>$L$51/$L$9*X9</f>
        <v>110228.81343483466</v>
      </c>
      <c r="Y51" s="17">
        <f>L51+SUM(U51:X51)</f>
        <v>818748.71287334885</v>
      </c>
      <c r="Z51" s="43">
        <f>Y51-I51</f>
        <v>92348.71287334885</v>
      </c>
      <c r="XEQ51" s="8">
        <v>2642997</v>
      </c>
    </row>
    <row r="52" spans="1:26 16371:16371" x14ac:dyDescent="0.25">
      <c r="A52" s="5" t="s">
        <v>35</v>
      </c>
      <c r="B52" s="8"/>
      <c r="C52" s="8"/>
      <c r="D52" s="8">
        <v>292631</v>
      </c>
      <c r="F52" s="15">
        <v>0.38800000000000001</v>
      </c>
      <c r="G52" s="8">
        <f t="shared" si="35"/>
        <v>-205577</v>
      </c>
      <c r="I52" s="17">
        <v>87054</v>
      </c>
      <c r="J52" s="13"/>
      <c r="K52" s="8">
        <v>181457</v>
      </c>
      <c r="L52" s="17">
        <v>52948</v>
      </c>
      <c r="R52" s="17"/>
      <c r="S52" s="17">
        <v>55463</v>
      </c>
      <c r="T52" s="17"/>
      <c r="U52" s="17">
        <f>$I$52/$I$10*U10-3287</f>
        <v>11103.853944261333</v>
      </c>
      <c r="V52" s="17">
        <f>$I$52/$I$10*V10</f>
        <v>19660.310706475979</v>
      </c>
      <c r="W52" s="17">
        <f>$I$52/$I$10*W10</f>
        <v>16141.805019309795</v>
      </c>
      <c r="X52" s="17">
        <f>$I$52/$I$10*X10</f>
        <v>14220.320739900688</v>
      </c>
      <c r="Y52" s="17">
        <f t="shared" ref="Y52:Y56" si="36">L52+SUM(U52:X52)</f>
        <v>114074.2904099478</v>
      </c>
      <c r="Z52" s="17">
        <f>Y52-I52</f>
        <v>27020.290409947804</v>
      </c>
      <c r="XEQ52" s="8">
        <v>292631</v>
      </c>
    </row>
    <row r="53" spans="1:26 16371:16371" x14ac:dyDescent="0.25">
      <c r="A53" s="5" t="s">
        <v>36</v>
      </c>
      <c r="B53" s="8"/>
      <c r="C53" s="8"/>
      <c r="D53" s="8">
        <f>98176-4406</f>
        <v>93770</v>
      </c>
      <c r="F53" s="15">
        <v>0.77900000000000003</v>
      </c>
      <c r="G53" s="8">
        <f t="shared" si="35"/>
        <v>-68735</v>
      </c>
      <c r="I53" s="17">
        <v>25035</v>
      </c>
      <c r="J53" s="13"/>
      <c r="K53" s="8">
        <v>48673</v>
      </c>
      <c r="L53" s="17">
        <v>13920</v>
      </c>
      <c r="R53" s="17"/>
      <c r="S53" s="17">
        <v>13885</v>
      </c>
      <c r="T53" s="17"/>
      <c r="U53" s="17">
        <f>$I$53/$I$11*U11+1046</f>
        <v>4347.6271194391229</v>
      </c>
      <c r="V53" s="17">
        <f>$I$53/$I$11*V11</f>
        <v>4511.3540823303174</v>
      </c>
      <c r="W53" s="17">
        <f>$I$53/$I$11*W11</f>
        <v>4233.1200185708658</v>
      </c>
      <c r="X53" s="17">
        <f>$I$53/$I$11*X11</f>
        <v>3580.0501461676145</v>
      </c>
      <c r="Y53" s="17">
        <f t="shared" si="36"/>
        <v>30592.151366507922</v>
      </c>
      <c r="Z53" s="17">
        <f>Y53-I53</f>
        <v>5557.1513665079219</v>
      </c>
      <c r="XEQ53" s="8">
        <f>98176-4406</f>
        <v>93770</v>
      </c>
    </row>
    <row r="54" spans="1:26 16371:16371" x14ac:dyDescent="0.25">
      <c r="A54" s="5" t="s">
        <v>37</v>
      </c>
      <c r="B54" s="8"/>
      <c r="C54" s="8"/>
      <c r="D54" s="8">
        <v>271446</v>
      </c>
      <c r="F54" s="15">
        <v>0.379</v>
      </c>
      <c r="G54" s="8">
        <f t="shared" si="35"/>
        <v>-66527</v>
      </c>
      <c r="I54" s="17">
        <v>204919</v>
      </c>
      <c r="J54" s="13"/>
      <c r="K54" s="8">
        <v>127426</v>
      </c>
      <c r="L54" s="17">
        <v>196585</v>
      </c>
      <c r="R54" s="17"/>
      <c r="S54" s="17">
        <v>34705</v>
      </c>
      <c r="T54" s="17"/>
      <c r="U54" s="17">
        <f>(I54-L54)/4</f>
        <v>2083.5</v>
      </c>
      <c r="V54" s="17">
        <f>U54</f>
        <v>2083.5</v>
      </c>
      <c r="W54" s="17">
        <f>V54</f>
        <v>2083.5</v>
      </c>
      <c r="X54" s="17">
        <f>W54</f>
        <v>2083.5</v>
      </c>
      <c r="Y54" s="17">
        <f t="shared" si="36"/>
        <v>204919</v>
      </c>
      <c r="Z54" s="17">
        <f>Y54-I54</f>
        <v>0</v>
      </c>
      <c r="XEQ54" s="8">
        <v>271446</v>
      </c>
    </row>
    <row r="55" spans="1:26 16371:16371" x14ac:dyDescent="0.25">
      <c r="A55" s="5" t="s">
        <v>38</v>
      </c>
      <c r="B55" s="8"/>
      <c r="C55" s="8"/>
      <c r="D55" s="8">
        <v>39600</v>
      </c>
      <c r="F55" s="15">
        <v>0.45900000000000002</v>
      </c>
      <c r="G55" s="8">
        <f t="shared" si="35"/>
        <v>123690</v>
      </c>
      <c r="I55" s="17">
        <v>163290</v>
      </c>
      <c r="J55" s="13"/>
      <c r="K55" s="8">
        <v>464000</v>
      </c>
      <c r="L55" s="17">
        <v>41519</v>
      </c>
      <c r="R55" s="17"/>
      <c r="S55" s="17">
        <v>137043</v>
      </c>
      <c r="T55" s="17"/>
      <c r="U55" s="17">
        <f>$I$55/$I$13*U13+28619</f>
        <v>60059.898693878378</v>
      </c>
      <c r="V55" s="17">
        <f>$I$55/$I$13*V13</f>
        <v>36919.127027620518</v>
      </c>
      <c r="W55" s="17">
        <f>$I$55/$I$13*W13</f>
        <v>40015.359021635253</v>
      </c>
      <c r="X55" s="17">
        <f>$I$55/$I$13*X13</f>
        <v>43394.470108225323</v>
      </c>
      <c r="Y55" s="17">
        <f t="shared" si="36"/>
        <v>221907.85485135947</v>
      </c>
      <c r="Z55" s="43">
        <f>Y55-I55</f>
        <v>58617.854851359472</v>
      </c>
      <c r="XEQ55" s="8">
        <v>39600</v>
      </c>
    </row>
    <row r="56" spans="1:26 16371:16371" x14ac:dyDescent="0.25">
      <c r="A56" s="5" t="s">
        <v>39</v>
      </c>
      <c r="B56" s="8"/>
      <c r="C56" s="8"/>
      <c r="D56" s="8">
        <v>522380</v>
      </c>
      <c r="F56" s="15">
        <v>0.58299999999999996</v>
      </c>
      <c r="G56" s="8">
        <f t="shared" si="35"/>
        <v>-496568</v>
      </c>
      <c r="I56" s="17">
        <f>L56</f>
        <v>25812</v>
      </c>
      <c r="J56" s="13"/>
      <c r="K56" s="8">
        <v>253073</v>
      </c>
      <c r="L56" s="17">
        <v>25812</v>
      </c>
      <c r="R56" s="17"/>
      <c r="S56" s="17"/>
      <c r="T56" s="17"/>
      <c r="U56" s="17">
        <v>0</v>
      </c>
      <c r="V56" s="17">
        <v>0</v>
      </c>
      <c r="W56" s="17">
        <v>0</v>
      </c>
      <c r="X56" s="17">
        <v>0</v>
      </c>
      <c r="Y56" s="17">
        <f t="shared" si="36"/>
        <v>25812</v>
      </c>
      <c r="Z56" s="17">
        <f>Y56-I56</f>
        <v>0</v>
      </c>
      <c r="XEQ56" s="8">
        <v>522380</v>
      </c>
    </row>
    <row r="57" spans="1:26 16371:16371" x14ac:dyDescent="0.25">
      <c r="A57" s="2" t="s">
        <v>40</v>
      </c>
      <c r="B57" s="18" t="e">
        <f>(#REF!-#REF!)/#REF!</f>
        <v>#REF!</v>
      </c>
      <c r="C57" s="8"/>
      <c r="D57" s="12">
        <f>SUM(D50:D56)</f>
        <v>4197765</v>
      </c>
      <c r="F57" s="18">
        <f>D57/D15</f>
        <v>0.14199998728085178</v>
      </c>
      <c r="G57" s="12">
        <f>SUM(G50:G56)</f>
        <v>-2886948</v>
      </c>
      <c r="I57" s="12">
        <f>SUM(I50:I56)</f>
        <v>1310817</v>
      </c>
      <c r="J57" s="25"/>
      <c r="K57" s="12">
        <f>SUM(K50:K56)</f>
        <v>3366955</v>
      </c>
      <c r="L57" s="12">
        <f>SUM(L50:L56)</f>
        <v>764869</v>
      </c>
      <c r="M57" s="17">
        <v>49469</v>
      </c>
      <c r="N57" s="17">
        <f t="shared" ref="N57" si="37">L57+M57</f>
        <v>814338</v>
      </c>
      <c r="O57" s="17">
        <v>0</v>
      </c>
      <c r="P57" s="17">
        <v>0</v>
      </c>
      <c r="Q57" s="17">
        <f>SUM(N57:P57)</f>
        <v>814338</v>
      </c>
      <c r="R57" s="17" t="e">
        <f>#REF!*R15</f>
        <v>#REF!</v>
      </c>
      <c r="S57" s="17"/>
      <c r="T57" s="17" t="e">
        <f>#REF!*T15</f>
        <v>#REF!</v>
      </c>
      <c r="U57" s="12">
        <f t="shared" ref="U57:X57" si="38">SUM(U50:U56)</f>
        <v>149444.71848904129</v>
      </c>
      <c r="V57" s="12">
        <f t="shared" si="38"/>
        <v>207882.1874703893</v>
      </c>
      <c r="W57" s="12">
        <f t="shared" si="38"/>
        <v>195734.19911260519</v>
      </c>
      <c r="X57" s="12">
        <f t="shared" si="38"/>
        <v>176430.90442912831</v>
      </c>
      <c r="Y57" s="12">
        <f>SUM(Y50:Y56)</f>
        <v>1494361.0095011641</v>
      </c>
      <c r="Z57" s="17">
        <f>Y57-I57</f>
        <v>183544.00950116408</v>
      </c>
      <c r="XEQ57" s="12">
        <f>SUM(XEQ50:XEQ56)</f>
        <v>4197765</v>
      </c>
    </row>
    <row r="58" spans="1:26 16371:16371" x14ac:dyDescent="0.25">
      <c r="B58" s="8"/>
      <c r="C58" s="8"/>
      <c r="I58" s="8"/>
      <c r="J58" s="13"/>
      <c r="R58" s="17"/>
      <c r="S58" s="17"/>
      <c r="T58" s="17"/>
      <c r="U58" s="17"/>
      <c r="V58" s="17"/>
      <c r="W58" s="17"/>
      <c r="X58" s="17"/>
      <c r="Y58" s="17">
        <f>L57+SUM(U57:X57)</f>
        <v>1494361.0095011641</v>
      </c>
      <c r="Z58" s="17">
        <f>Y58-I58</f>
        <v>1494361.0095011641</v>
      </c>
    </row>
    <row r="59" spans="1:26 16371:16371" hidden="1" x14ac:dyDescent="0.25">
      <c r="A59" s="2" t="s">
        <v>41</v>
      </c>
      <c r="B59" s="8"/>
      <c r="C59" s="8"/>
      <c r="R59" s="17"/>
      <c r="S59" s="17"/>
      <c r="T59" s="17"/>
      <c r="U59" s="17"/>
      <c r="V59" s="17"/>
      <c r="W59" s="17"/>
      <c r="X59" s="17"/>
      <c r="Y59" s="17"/>
      <c r="Z59" s="17"/>
    </row>
    <row r="60" spans="1:26 16371:16371" hidden="1" x14ac:dyDescent="0.25">
      <c r="A60" s="5" t="s">
        <v>42</v>
      </c>
      <c r="B60" s="8"/>
      <c r="C60" s="8"/>
      <c r="D60" s="8">
        <v>1803008</v>
      </c>
      <c r="G60" s="8">
        <f>I60-D60</f>
        <v>-1803008</v>
      </c>
      <c r="I60" s="17"/>
      <c r="J60" s="13"/>
      <c r="K60" s="8">
        <v>1803008</v>
      </c>
      <c r="L60" s="17">
        <v>396188</v>
      </c>
      <c r="R60" s="17"/>
      <c r="S60" s="17"/>
      <c r="T60" s="17"/>
      <c r="U60" s="17"/>
      <c r="V60" s="17"/>
      <c r="W60" s="17"/>
      <c r="X60" s="17"/>
      <c r="Y60" s="17"/>
      <c r="Z60" s="17"/>
      <c r="XEQ60" s="8">
        <v>1803008</v>
      </c>
    </row>
    <row r="61" spans="1:26 16371:16371" hidden="1" x14ac:dyDescent="0.25">
      <c r="A61" s="5" t="s">
        <v>12</v>
      </c>
      <c r="B61" s="8"/>
      <c r="C61" s="8"/>
      <c r="D61" s="8">
        <v>1753756</v>
      </c>
      <c r="G61" s="8">
        <f>I61-D61</f>
        <v>-1753756</v>
      </c>
      <c r="I61" s="17"/>
      <c r="J61" s="13"/>
      <c r="K61" s="8">
        <v>1753756</v>
      </c>
      <c r="L61" s="17">
        <v>376810</v>
      </c>
      <c r="R61" s="17"/>
      <c r="S61" s="17"/>
      <c r="T61" s="17"/>
      <c r="U61" s="17"/>
      <c r="V61" s="17"/>
      <c r="W61" s="17"/>
      <c r="X61" s="17"/>
      <c r="Y61" s="17"/>
      <c r="Z61" s="17"/>
      <c r="XEQ61" s="8">
        <v>1753756</v>
      </c>
    </row>
    <row r="62" spans="1:26 16371:16371" hidden="1" x14ac:dyDescent="0.25">
      <c r="A62" s="5" t="s">
        <v>13</v>
      </c>
      <c r="B62" s="8"/>
      <c r="C62" s="8"/>
      <c r="D62" s="8">
        <v>478337</v>
      </c>
      <c r="G62" s="8">
        <f>I62-D62</f>
        <v>-478337</v>
      </c>
      <c r="I62" s="17"/>
      <c r="J62" s="13"/>
      <c r="K62" s="8">
        <v>478337</v>
      </c>
      <c r="L62" s="17">
        <v>59332</v>
      </c>
      <c r="R62" s="17"/>
      <c r="S62" s="17"/>
      <c r="T62" s="17"/>
      <c r="U62" s="17"/>
      <c r="V62" s="17"/>
      <c r="W62" s="17"/>
      <c r="X62" s="17"/>
      <c r="Y62" s="17"/>
      <c r="Z62" s="17"/>
      <c r="XEQ62" s="8">
        <v>478337</v>
      </c>
    </row>
    <row r="63" spans="1:26 16371:16371" hidden="1" x14ac:dyDescent="0.25">
      <c r="B63" s="8"/>
      <c r="C63" s="8"/>
      <c r="D63" s="17"/>
      <c r="E63" s="1"/>
      <c r="K63" s="17"/>
      <c r="R63" s="17"/>
      <c r="S63" s="17"/>
      <c r="T63" s="17"/>
      <c r="U63" s="17"/>
      <c r="V63" s="17"/>
      <c r="W63" s="17"/>
      <c r="X63" s="17"/>
      <c r="Y63" s="17"/>
      <c r="Z63" s="17"/>
      <c r="XEQ63" s="17"/>
    </row>
    <row r="64" spans="1:26 16371:16371" x14ac:dyDescent="0.25">
      <c r="A64" s="2" t="s">
        <v>43</v>
      </c>
      <c r="B64" s="18" t="e">
        <f>(#REF!-#REF!)/#REF!</f>
        <v>#REF!</v>
      </c>
      <c r="C64" s="8"/>
      <c r="D64" s="12">
        <f>SUM(D60:D63)</f>
        <v>4035101</v>
      </c>
      <c r="E64" s="1"/>
      <c r="G64" s="12">
        <f>SUM(G60:G63)</f>
        <v>-4035101</v>
      </c>
      <c r="I64" s="12">
        <v>919215</v>
      </c>
      <c r="J64" s="25"/>
      <c r="K64" s="12">
        <v>1920404</v>
      </c>
      <c r="L64" s="12">
        <f>SUM(L60:L63)</f>
        <v>832330</v>
      </c>
      <c r="M64" s="17">
        <v>7652</v>
      </c>
      <c r="N64" s="17">
        <f t="shared" ref="N64" si="39">L64+M64</f>
        <v>839982</v>
      </c>
      <c r="O64" s="17">
        <v>0</v>
      </c>
      <c r="P64" s="17">
        <v>0</v>
      </c>
      <c r="Q64" s="17">
        <f>SUM(N64:P64)</f>
        <v>839982</v>
      </c>
      <c r="R64" s="17" t="e">
        <f>#REF!*R22</f>
        <v>#REF!</v>
      </c>
      <c r="S64" s="17"/>
      <c r="T64" s="17" t="e">
        <f>#REF!*T22</f>
        <v>#REF!</v>
      </c>
      <c r="U64" s="12">
        <f>(I64-L64)*0.21</f>
        <v>18245.849999999999</v>
      </c>
      <c r="V64" s="12">
        <f>U64</f>
        <v>18245.849999999999</v>
      </c>
      <c r="W64" s="12">
        <v>0</v>
      </c>
      <c r="X64" s="12">
        <f>(I64-L64)*0.58</f>
        <v>50393.299999999996</v>
      </c>
      <c r="Y64" s="66">
        <f>L64+SUM(U64:X64)</f>
        <v>919215</v>
      </c>
      <c r="Z64" s="17">
        <f>Y64-I64</f>
        <v>0</v>
      </c>
      <c r="XEQ64" s="12">
        <f>SUM(XEQ60:XEQ63)</f>
        <v>4035101</v>
      </c>
    </row>
    <row r="65" spans="1:29 16371:16371" x14ac:dyDescent="0.25">
      <c r="B65" s="8"/>
      <c r="C65" s="8"/>
      <c r="D65" s="17"/>
      <c r="E65" s="1"/>
      <c r="I65" s="8"/>
      <c r="J65" s="13"/>
      <c r="K65" s="17"/>
      <c r="R65" s="17"/>
      <c r="S65" s="17"/>
      <c r="T65" s="17"/>
      <c r="U65" s="17"/>
      <c r="V65" s="17"/>
      <c r="W65" s="17"/>
      <c r="X65" s="17"/>
      <c r="Y65" s="17"/>
      <c r="Z65" s="17"/>
      <c r="XEQ65" s="17"/>
    </row>
    <row r="66" spans="1:29 16371:16371" x14ac:dyDescent="0.25">
      <c r="A66" s="2" t="s">
        <v>44</v>
      </c>
      <c r="B66" s="28" t="e">
        <f>(#REF!-#REF!)/#REF!</f>
        <v>#REF!</v>
      </c>
      <c r="C66" s="27"/>
      <c r="D66" s="29">
        <v>78755</v>
      </c>
      <c r="E66" s="1"/>
      <c r="F66" s="18"/>
      <c r="G66" s="8">
        <f>I66-D66</f>
        <v>-72764</v>
      </c>
      <c r="I66" s="29">
        <v>5991</v>
      </c>
      <c r="J66" s="86"/>
      <c r="K66" s="29">
        <v>14143</v>
      </c>
      <c r="L66" s="17">
        <v>3246</v>
      </c>
      <c r="M66" s="17">
        <v>0</v>
      </c>
      <c r="N66" s="17">
        <f t="shared" ref="N66:N68" si="40">L66+M66</f>
        <v>3246</v>
      </c>
      <c r="O66" s="17">
        <v>0</v>
      </c>
      <c r="P66" s="17">
        <v>0</v>
      </c>
      <c r="Q66" s="17">
        <f t="shared" ref="Q66:Q68" si="41">SUM(N66:P66)</f>
        <v>3246</v>
      </c>
      <c r="R66" s="17">
        <f>L66</f>
        <v>3246</v>
      </c>
      <c r="S66" s="17"/>
      <c r="T66" s="17">
        <f>(I66-R66)/5</f>
        <v>549</v>
      </c>
      <c r="U66" s="17">
        <f>(I66-L66)/4</f>
        <v>686.25</v>
      </c>
      <c r="V66" s="17">
        <f t="shared" ref="V66:X66" si="42">U66</f>
        <v>686.25</v>
      </c>
      <c r="W66" s="17">
        <f t="shared" si="42"/>
        <v>686.25</v>
      </c>
      <c r="X66" s="17">
        <f t="shared" si="42"/>
        <v>686.25</v>
      </c>
      <c r="Y66" s="17">
        <f t="shared" ref="Y66:Y68" si="43">L66+SUM(U66:X66)</f>
        <v>5991</v>
      </c>
      <c r="Z66" s="17">
        <f>Y66-I66</f>
        <v>0</v>
      </c>
      <c r="XEQ66" s="29">
        <v>78755</v>
      </c>
    </row>
    <row r="67" spans="1:29 16371:16371" x14ac:dyDescent="0.25">
      <c r="A67" s="2" t="s">
        <v>17</v>
      </c>
      <c r="B67" s="28" t="e">
        <f>(#REF!-#REF!)/#REF!</f>
        <v>#REF!</v>
      </c>
      <c r="C67" s="27"/>
      <c r="D67" s="29">
        <v>283468</v>
      </c>
      <c r="E67" s="1"/>
      <c r="F67" s="18">
        <v>0.5</v>
      </c>
      <c r="G67" s="8">
        <f>D67*-F67</f>
        <v>-141734</v>
      </c>
      <c r="I67" s="27">
        <v>69009</v>
      </c>
      <c r="J67" s="86"/>
      <c r="K67" s="29">
        <v>192800</v>
      </c>
      <c r="L67" s="17">
        <v>59847</v>
      </c>
      <c r="M67" s="17">
        <v>1015</v>
      </c>
      <c r="N67" s="17">
        <f t="shared" si="40"/>
        <v>60862</v>
      </c>
      <c r="O67" s="17">
        <v>0</v>
      </c>
      <c r="P67" s="17">
        <v>0</v>
      </c>
      <c r="Q67" s="17">
        <f t="shared" si="41"/>
        <v>60862</v>
      </c>
      <c r="R67" s="17">
        <f>L67</f>
        <v>59847</v>
      </c>
      <c r="S67" s="17"/>
      <c r="T67" s="17">
        <f>(I67-R67)/5</f>
        <v>1832.4</v>
      </c>
      <c r="U67" s="17">
        <f>(I67-L67)/4</f>
        <v>2290.5</v>
      </c>
      <c r="V67" s="17">
        <f t="shared" ref="V67:X67" si="44">U67</f>
        <v>2290.5</v>
      </c>
      <c r="W67" s="17">
        <f t="shared" si="44"/>
        <v>2290.5</v>
      </c>
      <c r="X67" s="17">
        <f t="shared" si="44"/>
        <v>2290.5</v>
      </c>
      <c r="Y67" s="17">
        <f t="shared" si="43"/>
        <v>69009</v>
      </c>
      <c r="Z67" s="17">
        <f>Y67-I67</f>
        <v>0</v>
      </c>
      <c r="XEQ67" s="29">
        <v>283468</v>
      </c>
    </row>
    <row r="68" spans="1:29 16371:16371" x14ac:dyDescent="0.25">
      <c r="A68" s="2" t="s">
        <v>45</v>
      </c>
      <c r="B68" s="28" t="e">
        <f>(#REF!-#REF!)/#REF!</f>
        <v>#REF!</v>
      </c>
      <c r="C68" s="27"/>
      <c r="D68" s="29">
        <v>551782</v>
      </c>
      <c r="E68" s="1"/>
      <c r="F68" s="18">
        <v>0.8</v>
      </c>
      <c r="G68" s="8">
        <f>D68*-F68</f>
        <v>-441425.60000000003</v>
      </c>
      <c r="I68" s="27">
        <v>75050</v>
      </c>
      <c r="J68" s="86"/>
      <c r="K68" s="29">
        <v>139760</v>
      </c>
      <c r="L68" s="17">
        <v>69959</v>
      </c>
      <c r="M68" s="17">
        <v>4744</v>
      </c>
      <c r="N68" s="17">
        <f t="shared" si="40"/>
        <v>74703</v>
      </c>
      <c r="O68" s="17">
        <v>0</v>
      </c>
      <c r="P68" s="17">
        <v>0</v>
      </c>
      <c r="Q68" s="17">
        <f t="shared" si="41"/>
        <v>74703</v>
      </c>
      <c r="R68" s="17">
        <f>L68</f>
        <v>69959</v>
      </c>
      <c r="S68" s="17"/>
      <c r="T68" s="17">
        <f>(I68-R68)/5</f>
        <v>1018.2</v>
      </c>
      <c r="U68" s="17">
        <f>(I68-L68)/4</f>
        <v>1272.75</v>
      </c>
      <c r="V68" s="17">
        <f t="shared" ref="V68:X68" si="45">U68</f>
        <v>1272.75</v>
      </c>
      <c r="W68" s="17">
        <f t="shared" si="45"/>
        <v>1272.75</v>
      </c>
      <c r="X68" s="17">
        <f t="shared" si="45"/>
        <v>1272.75</v>
      </c>
      <c r="Y68" s="17">
        <f t="shared" si="43"/>
        <v>75050</v>
      </c>
      <c r="Z68" s="17">
        <f>Y68-I68</f>
        <v>0</v>
      </c>
      <c r="XEQ68" s="29">
        <v>551782</v>
      </c>
    </row>
    <row r="69" spans="1:29 16371:16371" x14ac:dyDescent="0.25">
      <c r="B69" s="8"/>
      <c r="C69" s="8"/>
      <c r="F69" s="18"/>
      <c r="R69" s="17"/>
      <c r="S69" s="17"/>
      <c r="T69" s="17"/>
      <c r="U69" s="17"/>
      <c r="V69" s="17"/>
      <c r="W69" s="17"/>
      <c r="X69" s="17"/>
      <c r="Y69" s="17"/>
      <c r="Z69" s="17"/>
    </row>
    <row r="70" spans="1:29 16371:16371" hidden="1" x14ac:dyDescent="0.25">
      <c r="A70" s="2" t="s">
        <v>46</v>
      </c>
      <c r="B70" s="8"/>
      <c r="C70" s="8"/>
      <c r="F70" s="18"/>
      <c r="R70" s="17"/>
      <c r="S70" s="17"/>
      <c r="T70" s="17"/>
      <c r="U70" s="17"/>
      <c r="V70" s="17"/>
      <c r="W70" s="17"/>
      <c r="X70" s="17"/>
      <c r="Y70" s="17"/>
      <c r="Z70" s="17"/>
    </row>
    <row r="71" spans="1:29 16371:16371" hidden="1" x14ac:dyDescent="0.25">
      <c r="A71" s="5" t="s">
        <v>47</v>
      </c>
      <c r="B71" s="18" t="e">
        <f>(#REF!-#REF!)/#REF!</f>
        <v>#REF!</v>
      </c>
      <c r="C71" s="8"/>
      <c r="D71" s="8">
        <v>484517</v>
      </c>
      <c r="F71" s="18">
        <v>-0.5</v>
      </c>
      <c r="G71" s="8">
        <f>D71*F71</f>
        <v>-242258.5</v>
      </c>
      <c r="I71" s="8"/>
      <c r="J71" s="13"/>
      <c r="K71" s="8">
        <v>484517</v>
      </c>
      <c r="L71" s="17">
        <v>73322</v>
      </c>
      <c r="R71" s="17"/>
      <c r="S71" s="17"/>
      <c r="T71" s="17"/>
      <c r="U71" s="17"/>
      <c r="V71" s="17"/>
      <c r="W71" s="17"/>
      <c r="X71" s="17"/>
      <c r="Y71" s="17"/>
      <c r="Z71" s="17"/>
      <c r="XEQ71" s="8">
        <v>484517</v>
      </c>
    </row>
    <row r="72" spans="1:29 16371:16371" hidden="1" x14ac:dyDescent="0.25">
      <c r="A72" s="5" t="s">
        <v>48</v>
      </c>
      <c r="B72" s="18" t="e">
        <f>(#REF!-#REF!)/#REF!</f>
        <v>#REF!</v>
      </c>
      <c r="C72" s="8"/>
      <c r="D72" s="8">
        <v>377600</v>
      </c>
      <c r="F72" s="18">
        <f>G72/D72</f>
        <v>-1</v>
      </c>
      <c r="G72" s="8">
        <f>I72-D72</f>
        <v>-377600</v>
      </c>
      <c r="I72" s="8"/>
      <c r="J72" s="13"/>
      <c r="K72" s="8">
        <v>377600</v>
      </c>
      <c r="L72" s="17">
        <v>256532</v>
      </c>
      <c r="R72" s="17"/>
      <c r="S72" s="17"/>
      <c r="T72" s="17"/>
      <c r="U72" s="17"/>
      <c r="V72" s="17"/>
      <c r="W72" s="17"/>
      <c r="X72" s="17"/>
      <c r="Y72" s="17"/>
      <c r="Z72" s="17"/>
      <c r="XEQ72" s="8">
        <v>377600</v>
      </c>
    </row>
    <row r="73" spans="1:29 16371:16371" hidden="1" x14ac:dyDescent="0.25">
      <c r="A73" s="6" t="s">
        <v>49</v>
      </c>
      <c r="B73" s="18" t="e">
        <f>(#REF!-#REF!)/#REF!</f>
        <v>#REF!</v>
      </c>
      <c r="C73" s="8"/>
      <c r="D73" s="8">
        <v>250900</v>
      </c>
      <c r="F73" s="15">
        <v>-0.6</v>
      </c>
      <c r="G73" s="8">
        <f>D73*F73</f>
        <v>-150540</v>
      </c>
      <c r="I73" s="8"/>
      <c r="J73" s="13"/>
      <c r="K73" s="8">
        <v>250900</v>
      </c>
      <c r="L73" s="17">
        <v>84398</v>
      </c>
      <c r="R73" s="17"/>
      <c r="S73" s="17"/>
      <c r="T73" s="17"/>
      <c r="U73" s="17"/>
      <c r="V73" s="17"/>
      <c r="W73" s="17"/>
      <c r="X73" s="17"/>
      <c r="Y73" s="17"/>
      <c r="Z73" s="17"/>
      <c r="AA73" s="1"/>
      <c r="XEQ73" s="8">
        <v>250900</v>
      </c>
    </row>
    <row r="74" spans="1:29 16371:16371" x14ac:dyDescent="0.25">
      <c r="A74" s="2" t="s">
        <v>50</v>
      </c>
      <c r="B74" s="18" t="e">
        <f>(#REF!-#REF!)/#REF!</f>
        <v>#REF!</v>
      </c>
      <c r="C74" s="8"/>
      <c r="D74" s="12">
        <f>SUM(D71:D73)</f>
        <v>1113017</v>
      </c>
      <c r="G74" s="12">
        <f>SUM(G71:G73)</f>
        <v>-770398.5</v>
      </c>
      <c r="I74" s="12">
        <v>707811</v>
      </c>
      <c r="J74" s="25"/>
      <c r="K74" s="12">
        <v>706000</v>
      </c>
      <c r="L74" s="12">
        <f>SUM(L71:L73)</f>
        <v>414252</v>
      </c>
      <c r="M74" s="17">
        <v>49632</v>
      </c>
      <c r="N74" s="17">
        <f t="shared" ref="N74" si="46">L74+M74</f>
        <v>463884</v>
      </c>
      <c r="O74" s="17">
        <v>0</v>
      </c>
      <c r="P74" s="17">
        <v>0</v>
      </c>
      <c r="Q74" s="17">
        <f>SUM(N74:P74)</f>
        <v>463884</v>
      </c>
      <c r="R74" s="17">
        <f>L74</f>
        <v>414252</v>
      </c>
      <c r="S74" s="17"/>
      <c r="T74" s="17">
        <f>(I74-R74)/5</f>
        <v>58711.8</v>
      </c>
      <c r="U74" s="17">
        <f>(I74-L74)/4</f>
        <v>73389.75</v>
      </c>
      <c r="V74" s="17">
        <f t="shared" ref="V74:X74" si="47">U74</f>
        <v>73389.75</v>
      </c>
      <c r="W74" s="17">
        <f t="shared" si="47"/>
        <v>73389.75</v>
      </c>
      <c r="X74" s="17">
        <f t="shared" si="47"/>
        <v>73389.75</v>
      </c>
      <c r="Y74" s="17">
        <f>L74+SUM(U74:X74)</f>
        <v>707811</v>
      </c>
      <c r="Z74" s="17">
        <f>Y74-I74</f>
        <v>0</v>
      </c>
      <c r="AA74" s="1"/>
      <c r="XEQ74" s="12">
        <f>SUM(XEQ71:XEQ73)</f>
        <v>1113017</v>
      </c>
    </row>
    <row r="75" spans="1:29 16371:16371" x14ac:dyDescent="0.25">
      <c r="B75" s="8"/>
      <c r="C75" s="8"/>
      <c r="I75" s="8"/>
      <c r="J75" s="13"/>
      <c r="R75" s="17"/>
      <c r="S75" s="17"/>
      <c r="T75" s="17"/>
      <c r="U75" s="17"/>
      <c r="V75" s="17"/>
      <c r="W75" s="17"/>
      <c r="X75" s="17"/>
      <c r="Y75" s="17"/>
      <c r="Z75" s="17"/>
      <c r="AA75" s="1"/>
    </row>
    <row r="76" spans="1:29 16371:16371" x14ac:dyDescent="0.25">
      <c r="A76" s="2" t="s">
        <v>51</v>
      </c>
      <c r="B76" s="8"/>
      <c r="C76" s="8"/>
      <c r="R76" s="17"/>
      <c r="S76" s="17"/>
      <c r="T76" s="17"/>
      <c r="U76" s="17"/>
      <c r="V76" s="17"/>
      <c r="W76" s="17"/>
      <c r="X76" s="17"/>
      <c r="Y76" s="17"/>
      <c r="Z76" s="17"/>
      <c r="AA76" s="1"/>
    </row>
    <row r="77" spans="1:29 16371:16371" x14ac:dyDescent="0.25">
      <c r="A77" s="64" t="s">
        <v>52</v>
      </c>
      <c r="B77" s="18" t="e">
        <f>(#REF!-#REF!)/#REF!</f>
        <v>#REF!</v>
      </c>
      <c r="C77" s="8"/>
      <c r="D77" s="17">
        <v>12310960</v>
      </c>
      <c r="E77" s="1"/>
      <c r="G77" s="17">
        <f>I77-D77</f>
        <v>-2392753</v>
      </c>
      <c r="H77" s="15">
        <f t="shared" ref="H77:H82" si="48">G77/D77</f>
        <v>-0.19435957878183344</v>
      </c>
      <c r="I77" s="17">
        <v>9918207</v>
      </c>
      <c r="J77" s="13"/>
      <c r="K77" s="17">
        <v>8641595</v>
      </c>
      <c r="L77" s="17">
        <v>6938234</v>
      </c>
      <c r="M77" s="17">
        <v>1270732</v>
      </c>
      <c r="N77" s="17">
        <f t="shared" ref="N77:N82" si="49">L77+M77</f>
        <v>8208966</v>
      </c>
      <c r="O77" s="17">
        <v>1233974</v>
      </c>
      <c r="P77" s="17">
        <v>662000</v>
      </c>
      <c r="Q77" s="17">
        <f t="shared" ref="Q77:Q82" si="50">SUM(N77:P77)</f>
        <v>10104940</v>
      </c>
      <c r="R77" s="17">
        <f>L77+1305000+1191000+604000</f>
        <v>10038234</v>
      </c>
      <c r="S77" s="17"/>
      <c r="T77" s="17">
        <f>($I$77-$R$77)/11*2</f>
        <v>-21823.090909090908</v>
      </c>
      <c r="U77" s="17">
        <f>649855</f>
        <v>649855</v>
      </c>
      <c r="V77" s="17">
        <v>974782</v>
      </c>
      <c r="W77" s="17">
        <v>649855</v>
      </c>
      <c r="X77" s="17">
        <v>812318</v>
      </c>
      <c r="Y77" s="17">
        <f t="shared" ref="Y77:Y82" si="51">L77+SUM(U77:X77)</f>
        <v>10025044</v>
      </c>
      <c r="Z77" s="17">
        <f t="shared" ref="Z77:Z82" si="52">Y77-I77</f>
        <v>106837</v>
      </c>
      <c r="AA77" s="1"/>
      <c r="XEQ77" s="17">
        <v>12310960</v>
      </c>
    </row>
    <row r="78" spans="1:29 16371:16371" x14ac:dyDescent="0.25">
      <c r="A78" s="5" t="s">
        <v>53</v>
      </c>
      <c r="B78" s="18" t="e">
        <f>(#REF!-#REF!)/#REF!</f>
        <v>#REF!</v>
      </c>
      <c r="C78" s="8"/>
      <c r="D78" s="17">
        <v>2608682</v>
      </c>
      <c r="E78" s="1"/>
      <c r="G78" s="17">
        <f t="shared" ref="G78:G82" si="53">I78-D78</f>
        <v>-1611763</v>
      </c>
      <c r="H78" s="15">
        <f t="shared" si="48"/>
        <v>-0.61784571672591748</v>
      </c>
      <c r="I78" s="17">
        <v>996919</v>
      </c>
      <c r="J78" s="13"/>
      <c r="K78" s="17">
        <v>1503395</v>
      </c>
      <c r="L78" s="17">
        <v>716757</v>
      </c>
      <c r="M78" s="17">
        <v>150459</v>
      </c>
      <c r="N78" s="17">
        <f t="shared" si="49"/>
        <v>867216</v>
      </c>
      <c r="O78" s="17">
        <v>76625</v>
      </c>
      <c r="P78" s="17">
        <v>0</v>
      </c>
      <c r="Q78" s="17">
        <f t="shared" si="50"/>
        <v>943841</v>
      </c>
      <c r="R78" s="17">
        <f>L78+153250+76625</f>
        <v>946632</v>
      </c>
      <c r="S78" s="17"/>
      <c r="T78" s="17">
        <f>($I$78-$R$78)/11*2</f>
        <v>9143.0909090909099</v>
      </c>
      <c r="U78" s="17">
        <f>($I$78-$L$78)/9*2</f>
        <v>62258.222222222219</v>
      </c>
      <c r="V78" s="17">
        <f>($I$78-$L$78)/9*3</f>
        <v>93387.333333333328</v>
      </c>
      <c r="W78" s="17">
        <f>($I$78-$L$78)/9*2</f>
        <v>62258.222222222219</v>
      </c>
      <c r="X78" s="17">
        <f>($I$78-$L$78)/9*2</f>
        <v>62258.222222222219</v>
      </c>
      <c r="Y78" s="17">
        <f t="shared" si="51"/>
        <v>996919</v>
      </c>
      <c r="Z78" s="17">
        <f t="shared" si="52"/>
        <v>0</v>
      </c>
      <c r="AA78" s="1"/>
      <c r="AB78" s="7"/>
      <c r="AC78" s="7"/>
      <c r="XEQ78" s="17">
        <v>2608682</v>
      </c>
    </row>
    <row r="79" spans="1:29 16371:16371" x14ac:dyDescent="0.25">
      <c r="A79" s="5" t="s">
        <v>54</v>
      </c>
      <c r="B79" s="18" t="e">
        <f>(#REF!-#REF!)/#REF!</f>
        <v>#REF!</v>
      </c>
      <c r="C79" s="8"/>
      <c r="D79" s="17">
        <v>1852590</v>
      </c>
      <c r="E79" s="1"/>
      <c r="F79" s="15">
        <f>D79/D22</f>
        <v>0.11665708582276277</v>
      </c>
      <c r="G79" s="17">
        <f t="shared" si="53"/>
        <v>-1274710</v>
      </c>
      <c r="H79" s="15">
        <f t="shared" si="48"/>
        <v>-0.68806913564253291</v>
      </c>
      <c r="I79" s="17">
        <v>577880</v>
      </c>
      <c r="J79" s="13"/>
      <c r="K79" s="17">
        <v>776093</v>
      </c>
      <c r="L79" s="17">
        <v>555795</v>
      </c>
      <c r="M79" s="17">
        <v>77670</v>
      </c>
      <c r="N79" s="17">
        <f t="shared" si="49"/>
        <v>633465</v>
      </c>
      <c r="O79" s="17">
        <v>38487</v>
      </c>
      <c r="P79" s="17">
        <v>0</v>
      </c>
      <c r="Q79" s="17">
        <f t="shared" si="50"/>
        <v>671952</v>
      </c>
      <c r="R79" s="17">
        <f>L79+76475+38487</f>
        <v>670757</v>
      </c>
      <c r="S79" s="17"/>
      <c r="T79" s="17">
        <f>($I$79-$R$79)/11*2</f>
        <v>-16886.727272727272</v>
      </c>
      <c r="U79" s="17">
        <f>('2021'!U18+'2021'!U19)*COOCOSCOL!E33+('2021'!U20*COOCOSCOL!E34)</f>
        <v>9465.2824999999975</v>
      </c>
      <c r="V79" s="17">
        <f>(V18+V19)*COOCOSCOL!E33+('2021'!V20*COOCOSCOL!E34)</f>
        <v>10950.593999999997</v>
      </c>
      <c r="W79" s="17">
        <f>(W20*COOCOSCOL!E34)</f>
        <v>4855.8779999999997</v>
      </c>
      <c r="X79" s="17">
        <f>(X18+X19)*COOCOSCOL!E33+('2021'!X20*COOCOSCOL!E34)</f>
        <v>26366.191999999995</v>
      </c>
      <c r="Y79" s="17">
        <f t="shared" si="51"/>
        <v>607432.94649999996</v>
      </c>
      <c r="Z79" s="17">
        <f t="shared" si="52"/>
        <v>29552.946499999962</v>
      </c>
      <c r="XEQ79" s="17">
        <v>1852590</v>
      </c>
    </row>
    <row r="80" spans="1:29 16371:16371" x14ac:dyDescent="0.25">
      <c r="A80" s="5" t="s">
        <v>55</v>
      </c>
      <c r="B80" s="18" t="e">
        <f>(#REF!-#REF!)/#REF!</f>
        <v>#REF!</v>
      </c>
      <c r="C80" s="8"/>
      <c r="D80" s="17">
        <v>511080</v>
      </c>
      <c r="E80" s="1"/>
      <c r="F80" s="18"/>
      <c r="G80" s="17">
        <f t="shared" si="53"/>
        <v>-232055</v>
      </c>
      <c r="H80" s="15">
        <f t="shared" si="48"/>
        <v>-0.45404828989590673</v>
      </c>
      <c r="I80" s="8">
        <v>279025</v>
      </c>
      <c r="J80" s="13"/>
      <c r="K80" s="17">
        <v>411175</v>
      </c>
      <c r="L80" s="17">
        <v>171550</v>
      </c>
      <c r="M80" s="17">
        <v>13070</v>
      </c>
      <c r="N80" s="17">
        <f t="shared" si="49"/>
        <v>184620</v>
      </c>
      <c r="O80" s="17">
        <v>12000</v>
      </c>
      <c r="P80" s="17">
        <v>12000</v>
      </c>
      <c r="Q80" s="17">
        <f t="shared" si="50"/>
        <v>208620</v>
      </c>
      <c r="R80" s="17">
        <f>L80+30000</f>
        <v>201550</v>
      </c>
      <c r="S80" s="17"/>
      <c r="T80" s="17">
        <f>(I80-R80)/5</f>
        <v>15495</v>
      </c>
      <c r="U80" s="17">
        <v>25000</v>
      </c>
      <c r="V80" s="17">
        <f t="shared" ref="V80:X81" si="54">U80</f>
        <v>25000</v>
      </c>
      <c r="W80" s="17">
        <f t="shared" si="54"/>
        <v>25000</v>
      </c>
      <c r="X80" s="17">
        <f t="shared" si="54"/>
        <v>25000</v>
      </c>
      <c r="Y80" s="17">
        <f t="shared" si="51"/>
        <v>271550</v>
      </c>
      <c r="Z80" s="17">
        <f t="shared" si="52"/>
        <v>-7475</v>
      </c>
      <c r="XEQ80" s="17">
        <v>511080</v>
      </c>
    </row>
    <row r="81" spans="1:33 16371:16371" x14ac:dyDescent="0.25">
      <c r="A81" s="5" t="s">
        <v>56</v>
      </c>
      <c r="B81" s="18" t="e">
        <f>(#REF!-#REF!)/#REF!</f>
        <v>#REF!</v>
      </c>
      <c r="C81" s="8"/>
      <c r="D81" s="17">
        <v>491066</v>
      </c>
      <c r="E81" s="1"/>
      <c r="F81" s="18"/>
      <c r="G81" s="17">
        <f t="shared" si="53"/>
        <v>-133131</v>
      </c>
      <c r="H81" s="15">
        <f t="shared" si="48"/>
        <v>-0.27110612422770053</v>
      </c>
      <c r="I81" s="8">
        <v>357935</v>
      </c>
      <c r="J81" s="13"/>
      <c r="K81" s="17">
        <v>468865</v>
      </c>
      <c r="L81" s="17">
        <v>207092</v>
      </c>
      <c r="M81" s="17">
        <v>24011</v>
      </c>
      <c r="N81" s="17">
        <f t="shared" si="49"/>
        <v>231103</v>
      </c>
      <c r="O81" s="17">
        <v>18000</v>
      </c>
      <c r="P81" s="17">
        <v>18000</v>
      </c>
      <c r="Q81" s="17">
        <f t="shared" si="50"/>
        <v>267103</v>
      </c>
      <c r="R81" s="43">
        <f>L81+(18000*3)</f>
        <v>261092</v>
      </c>
      <c r="S81" s="17"/>
      <c r="T81" s="17">
        <f>(I81-R81)/5</f>
        <v>19368.599999999999</v>
      </c>
      <c r="U81" s="17">
        <f>(I81-L81)/4</f>
        <v>37710.75</v>
      </c>
      <c r="V81" s="17">
        <f t="shared" si="54"/>
        <v>37710.75</v>
      </c>
      <c r="W81" s="17">
        <f t="shared" si="54"/>
        <v>37710.75</v>
      </c>
      <c r="X81" s="17">
        <f t="shared" si="54"/>
        <v>37710.75</v>
      </c>
      <c r="Y81" s="17">
        <f t="shared" si="51"/>
        <v>357935</v>
      </c>
      <c r="Z81" s="17">
        <f t="shared" si="52"/>
        <v>0</v>
      </c>
      <c r="XEQ81" s="17">
        <v>491066</v>
      </c>
    </row>
    <row r="82" spans="1:33 16371:16371" x14ac:dyDescent="0.25">
      <c r="A82" s="64" t="s">
        <v>57</v>
      </c>
      <c r="B82" s="18" t="e">
        <f>(#REF!-#REF!)/#REF!</f>
        <v>#REF!</v>
      </c>
      <c r="C82" s="8"/>
      <c r="D82" s="17">
        <f>2868627-200889</f>
        <v>2667738</v>
      </c>
      <c r="E82" s="1"/>
      <c r="F82" s="15" t="s">
        <v>96</v>
      </c>
      <c r="G82" s="17">
        <f t="shared" si="53"/>
        <v>-726868</v>
      </c>
      <c r="H82" s="15">
        <f t="shared" si="48"/>
        <v>-0.27246603676972775</v>
      </c>
      <c r="I82" s="17">
        <v>1940870</v>
      </c>
      <c r="J82" s="13"/>
      <c r="K82" s="17">
        <v>1674202</v>
      </c>
      <c r="L82" s="17">
        <v>1364888</v>
      </c>
      <c r="M82" s="17">
        <v>197908</v>
      </c>
      <c r="N82" s="17">
        <f t="shared" si="49"/>
        <v>1562796</v>
      </c>
      <c r="O82" s="17">
        <f>242835+5423-48091</f>
        <v>200167</v>
      </c>
      <c r="P82" s="17">
        <f>139020+11751</f>
        <v>150771</v>
      </c>
      <c r="Q82" s="17">
        <f t="shared" si="50"/>
        <v>1913734</v>
      </c>
      <c r="R82" s="17">
        <f>L82+276340+235100+126340+77082+44329</f>
        <v>2124079</v>
      </c>
      <c r="S82" s="17"/>
      <c r="T82" s="17">
        <f>($I$82-$R$82)/11*2</f>
        <v>-33310.727272727272</v>
      </c>
      <c r="U82" s="17">
        <f>(I82-L82)/4</f>
        <v>143995.5</v>
      </c>
      <c r="V82" s="17">
        <f>U82</f>
        <v>143995.5</v>
      </c>
      <c r="W82" s="17">
        <f>V82</f>
        <v>143995.5</v>
      </c>
      <c r="X82" s="17">
        <f>W82</f>
        <v>143995.5</v>
      </c>
      <c r="Y82" s="17">
        <f t="shared" si="51"/>
        <v>1940870</v>
      </c>
      <c r="Z82" s="17">
        <f t="shared" si="52"/>
        <v>0</v>
      </c>
      <c r="XEQ82" s="17">
        <f>2868627-200889</f>
        <v>2667738</v>
      </c>
    </row>
    <row r="83" spans="1:33 16371:16371" x14ac:dyDescent="0.25">
      <c r="A83" s="2" t="s">
        <v>58</v>
      </c>
      <c r="B83" s="18" t="e">
        <f>(#REF!-#REF!)/#REF!</f>
        <v>#REF!</v>
      </c>
      <c r="C83" s="8"/>
      <c r="D83" s="12">
        <f>SUM(D77:D82)</f>
        <v>20442116</v>
      </c>
      <c r="G83" s="12">
        <f>SUM(G77:G82)</f>
        <v>-6371280</v>
      </c>
      <c r="I83" s="12">
        <f>SUM(I77:I82)</f>
        <v>14070836</v>
      </c>
      <c r="J83" s="25"/>
      <c r="K83" s="12">
        <f>SUM(K77:K82)</f>
        <v>13475325</v>
      </c>
      <c r="L83" s="12">
        <f>SUM(L77:L82)</f>
        <v>9954316</v>
      </c>
      <c r="M83" s="12">
        <f t="shared" ref="M83:P83" si="55">SUM(M77:M82)</f>
        <v>1733850</v>
      </c>
      <c r="N83" s="12">
        <f t="shared" si="55"/>
        <v>11688166</v>
      </c>
      <c r="O83" s="12">
        <f>SUM(O77:O82)</f>
        <v>1579253</v>
      </c>
      <c r="P83" s="12">
        <f t="shared" si="55"/>
        <v>842771</v>
      </c>
      <c r="Q83" s="12">
        <f>SUM(Q77:Q82)</f>
        <v>14110190</v>
      </c>
      <c r="R83" s="12">
        <f>SUM(R77:R82)</f>
        <v>14242344</v>
      </c>
      <c r="S83" s="17"/>
      <c r="T83" s="12">
        <f t="shared" ref="T83:X83" si="56">SUM(T77:T82)</f>
        <v>-28013.854545454546</v>
      </c>
      <c r="U83" s="12">
        <f t="shared" si="56"/>
        <v>928284.75472222222</v>
      </c>
      <c r="V83" s="12">
        <f t="shared" si="56"/>
        <v>1285826.1773333333</v>
      </c>
      <c r="W83" s="12">
        <f t="shared" si="56"/>
        <v>923675.35022222227</v>
      </c>
      <c r="X83" s="12">
        <f t="shared" si="56"/>
        <v>1107648.6642222223</v>
      </c>
      <c r="Y83" s="12">
        <f>SUM(Y77:Y82)</f>
        <v>14199750.9465</v>
      </c>
      <c r="Z83" s="17"/>
      <c r="XEQ83" s="12">
        <f>SUM(XEQ77:XEQ82)</f>
        <v>20442116</v>
      </c>
    </row>
    <row r="84" spans="1:33 16371:16371" x14ac:dyDescent="0.25">
      <c r="B84" s="8"/>
      <c r="C84" s="8"/>
      <c r="I84" s="8"/>
      <c r="J84" s="13"/>
      <c r="N84" s="13">
        <f>L83+M83</f>
        <v>11688166</v>
      </c>
      <c r="Q84" s="17">
        <f>SUM(N83:P83)</f>
        <v>14110190</v>
      </c>
      <c r="R84" s="17"/>
      <c r="S84" s="17"/>
      <c r="T84" s="17"/>
      <c r="U84" s="17"/>
      <c r="V84" s="17"/>
      <c r="W84" s="17"/>
      <c r="X84" s="17"/>
      <c r="Y84" s="17">
        <f>L83+SUM(U83:X83)</f>
        <v>14199750.9465</v>
      </c>
      <c r="Z84" s="17"/>
    </row>
    <row r="85" spans="1:33 16371:16371" hidden="1" x14ac:dyDescent="0.25">
      <c r="A85" s="2" t="s">
        <v>59</v>
      </c>
      <c r="B85" s="8"/>
      <c r="C85" s="8"/>
      <c r="R85" s="17"/>
      <c r="S85" s="17"/>
      <c r="T85" s="17"/>
      <c r="U85" s="17"/>
      <c r="V85" s="17"/>
      <c r="W85" s="17"/>
      <c r="X85" s="17"/>
      <c r="Y85" s="17"/>
      <c r="Z85" s="17"/>
    </row>
    <row r="86" spans="1:33 16371:16371" hidden="1" x14ac:dyDescent="0.25">
      <c r="A86" s="5" t="s">
        <v>60</v>
      </c>
      <c r="B86" s="8"/>
      <c r="C86" s="8"/>
      <c r="D86" s="8">
        <v>1348074</v>
      </c>
      <c r="F86" s="15">
        <f>(D86-I86)/D86</f>
        <v>1</v>
      </c>
      <c r="G86" s="8">
        <v>-961367</v>
      </c>
      <c r="I86" s="8"/>
      <c r="J86" s="13"/>
      <c r="K86" s="8">
        <v>1348074</v>
      </c>
      <c r="L86" s="17">
        <v>465670</v>
      </c>
      <c r="R86" s="17"/>
      <c r="S86" s="17"/>
      <c r="T86" s="17"/>
      <c r="U86" s="17"/>
      <c r="V86" s="17"/>
      <c r="W86" s="17"/>
      <c r="X86" s="17"/>
      <c r="Y86" s="17"/>
      <c r="Z86" s="17"/>
      <c r="XEQ86" s="8">
        <v>1348074</v>
      </c>
    </row>
    <row r="87" spans="1:33 16371:16371" hidden="1" x14ac:dyDescent="0.25">
      <c r="A87" s="5" t="s">
        <v>61</v>
      </c>
      <c r="B87" s="8"/>
      <c r="C87" s="8"/>
      <c r="D87" s="8">
        <v>813293</v>
      </c>
      <c r="F87" s="15">
        <v>0</v>
      </c>
      <c r="G87" s="8">
        <f>I87-D87</f>
        <v>-813293</v>
      </c>
      <c r="I87" s="8"/>
      <c r="J87" s="13"/>
      <c r="K87" s="8">
        <v>813293</v>
      </c>
      <c r="L87" s="17">
        <v>323472</v>
      </c>
      <c r="R87" s="17"/>
      <c r="S87" s="17"/>
      <c r="T87" s="17"/>
      <c r="U87" s="17"/>
      <c r="V87" s="17"/>
      <c r="W87" s="17"/>
      <c r="X87" s="17"/>
      <c r="Y87" s="17"/>
      <c r="Z87" s="17"/>
      <c r="XEQ87" s="8">
        <v>813293</v>
      </c>
    </row>
    <row r="88" spans="1:33 16371:16371" x14ac:dyDescent="0.25">
      <c r="A88" s="2" t="s">
        <v>62</v>
      </c>
      <c r="B88" s="18" t="e">
        <f>(#REF!-#REF!)/#REF!</f>
        <v>#REF!</v>
      </c>
      <c r="C88" s="8"/>
      <c r="D88" s="12">
        <f>SUM(D86:D87)</f>
        <v>2161367</v>
      </c>
      <c r="F88" s="15">
        <f>(D88-I88)/D88</f>
        <v>0.45788660602294751</v>
      </c>
      <c r="G88" s="12">
        <f>SUM(G86:G87)</f>
        <v>-1774660</v>
      </c>
      <c r="I88" s="12">
        <v>1171706</v>
      </c>
      <c r="J88" s="25"/>
      <c r="K88" s="12">
        <v>686720</v>
      </c>
      <c r="L88" s="12">
        <f>L86+L87</f>
        <v>789142</v>
      </c>
      <c r="M88" s="17">
        <v>93903</v>
      </c>
      <c r="N88" s="17">
        <f t="shared" ref="N88" si="57">L88+M88</f>
        <v>883045</v>
      </c>
      <c r="O88" s="17">
        <v>0</v>
      </c>
      <c r="P88" s="17">
        <v>6000</v>
      </c>
      <c r="Q88" s="17">
        <f>SUM(N88:P88)</f>
        <v>889045</v>
      </c>
      <c r="R88" s="17">
        <f>L88+93903+385+32012</f>
        <v>915442</v>
      </c>
      <c r="S88" s="17"/>
      <c r="T88" s="17">
        <v>137519</v>
      </c>
      <c r="U88" s="17">
        <v>116394</v>
      </c>
      <c r="V88" s="17">
        <v>119990</v>
      </c>
      <c r="W88" s="17">
        <v>117590</v>
      </c>
      <c r="X88" s="17">
        <f>139111</f>
        <v>139111</v>
      </c>
      <c r="Y88" s="17">
        <f t="shared" ref="Y88" si="58">L88+SUM(U88:X88)</f>
        <v>1282227</v>
      </c>
      <c r="Z88" s="17">
        <f>Y88-I88</f>
        <v>110521</v>
      </c>
      <c r="XEQ88" s="12">
        <f>SUM(XEQ86:XEQ87)</f>
        <v>2161367</v>
      </c>
    </row>
    <row r="89" spans="1:33 16371:16371" x14ac:dyDescent="0.25">
      <c r="B89" s="8"/>
      <c r="C89" s="8"/>
      <c r="I89" s="8"/>
      <c r="J89" s="13"/>
      <c r="R89" s="17"/>
      <c r="S89" s="17"/>
      <c r="T89" s="17"/>
      <c r="U89" s="17"/>
      <c r="V89" s="17"/>
      <c r="W89" s="17"/>
      <c r="X89" s="17"/>
      <c r="Y89" s="17"/>
      <c r="Z89" s="17"/>
    </row>
    <row r="90" spans="1:33 16371:16371" x14ac:dyDescent="0.25">
      <c r="A90" s="2" t="s">
        <v>63</v>
      </c>
      <c r="B90" s="28" t="e">
        <f>(#REF!-#REF!)/#REF!</f>
        <v>#REF!</v>
      </c>
      <c r="C90" s="27"/>
      <c r="D90" s="29">
        <v>309500</v>
      </c>
      <c r="F90" s="15">
        <f>G90/D90</f>
        <v>-0.74088206785137323</v>
      </c>
      <c r="G90" s="8">
        <f>I90-D90</f>
        <v>-229303</v>
      </c>
      <c r="I90" s="27">
        <v>80197</v>
      </c>
      <c r="J90" s="13"/>
      <c r="K90" s="29">
        <v>202000</v>
      </c>
      <c r="L90" s="17">
        <v>22441</v>
      </c>
      <c r="M90" s="17">
        <v>5126</v>
      </c>
      <c r="N90" s="17">
        <f t="shared" ref="N90:N93" si="59">L90+M90</f>
        <v>27567</v>
      </c>
      <c r="O90" s="17">
        <v>20000</v>
      </c>
      <c r="P90" s="17">
        <v>20000</v>
      </c>
      <c r="Q90" s="17">
        <f t="shared" ref="Q90:Q93" si="60">SUM(N90:P90)</f>
        <v>67567</v>
      </c>
      <c r="R90" s="17">
        <f>L90+20000+36774</f>
        <v>79215</v>
      </c>
      <c r="S90" s="17"/>
      <c r="T90" s="17">
        <f>167837/7</f>
        <v>23976.714285714286</v>
      </c>
      <c r="U90" s="17">
        <f>(I90-L90)/4</f>
        <v>14439</v>
      </c>
      <c r="V90" s="17">
        <f t="shared" ref="V90:X90" si="61">U90</f>
        <v>14439</v>
      </c>
      <c r="W90" s="17">
        <f t="shared" si="61"/>
        <v>14439</v>
      </c>
      <c r="X90" s="17">
        <f t="shared" si="61"/>
        <v>14439</v>
      </c>
      <c r="Y90" s="17">
        <f t="shared" ref="Y90:Y93" si="62">L90+SUM(U90:X90)</f>
        <v>80197</v>
      </c>
      <c r="Z90" s="17">
        <f>Y90-I90</f>
        <v>0</v>
      </c>
      <c r="XEQ90" s="29">
        <v>309500</v>
      </c>
    </row>
    <row r="91" spans="1:33 16371:16371" x14ac:dyDescent="0.25">
      <c r="A91" s="2" t="s">
        <v>70</v>
      </c>
      <c r="B91" s="28" t="e">
        <f>(#REF!-#REF!)/#REF!</f>
        <v>#REF!</v>
      </c>
      <c r="C91" s="27"/>
      <c r="D91" s="29">
        <v>2686583</v>
      </c>
      <c r="F91" s="15">
        <v>0.2</v>
      </c>
      <c r="G91" s="8">
        <f>D91*-F91</f>
        <v>-537316.6</v>
      </c>
      <c r="I91" s="27">
        <v>1878842</v>
      </c>
      <c r="J91" s="13"/>
      <c r="K91" s="29">
        <v>2376302</v>
      </c>
      <c r="L91" s="17">
        <v>1257973</v>
      </c>
      <c r="M91" s="17">
        <v>139395</v>
      </c>
      <c r="N91" s="17">
        <f t="shared" si="59"/>
        <v>1397368</v>
      </c>
      <c r="O91" s="17">
        <v>156281</v>
      </c>
      <c r="P91" s="17">
        <v>153553</v>
      </c>
      <c r="Q91" s="17">
        <f t="shared" si="60"/>
        <v>1707202</v>
      </c>
      <c r="R91" s="17">
        <f>L91+156281+156281+153583</f>
        <v>1724118</v>
      </c>
      <c r="S91" s="17"/>
      <c r="T91" s="17">
        <f>(I91-R91)/5</f>
        <v>30944.799999999999</v>
      </c>
      <c r="U91" s="17">
        <f>(I91-L91)/4</f>
        <v>155217.25</v>
      </c>
      <c r="V91" s="17">
        <f t="shared" ref="V91:X91" si="63">U91</f>
        <v>155217.25</v>
      </c>
      <c r="W91" s="17">
        <f t="shared" si="63"/>
        <v>155217.25</v>
      </c>
      <c r="X91" s="17">
        <f t="shared" si="63"/>
        <v>155217.25</v>
      </c>
      <c r="Y91" s="17">
        <f t="shared" si="62"/>
        <v>1878842</v>
      </c>
      <c r="Z91" s="17">
        <f>Y91-I91</f>
        <v>0</v>
      </c>
      <c r="XEQ91" s="29">
        <v>2686583</v>
      </c>
    </row>
    <row r="92" spans="1:33 16371:16371" x14ac:dyDescent="0.25">
      <c r="A92" s="26" t="s">
        <v>69</v>
      </c>
      <c r="B92" s="28"/>
      <c r="C92" s="27"/>
      <c r="D92" s="29">
        <v>591400</v>
      </c>
      <c r="F92" s="15">
        <v>0.28000000000000003</v>
      </c>
      <c r="G92" s="8">
        <v>-171500</v>
      </c>
      <c r="I92" s="27">
        <v>354893</v>
      </c>
      <c r="J92" s="13"/>
      <c r="K92" s="29">
        <v>660868</v>
      </c>
      <c r="L92" s="17">
        <v>178995</v>
      </c>
      <c r="M92" s="17">
        <v>7299</v>
      </c>
      <c r="N92" s="17">
        <f t="shared" si="59"/>
        <v>186294</v>
      </c>
      <c r="O92" s="17">
        <v>45000</v>
      </c>
      <c r="P92" s="17">
        <v>45000</v>
      </c>
      <c r="Q92" s="17">
        <f t="shared" si="60"/>
        <v>276294</v>
      </c>
      <c r="R92" s="17">
        <f>L92+20000</f>
        <v>198995</v>
      </c>
      <c r="S92" s="17"/>
      <c r="T92" s="17">
        <f>(I92-R92)/5</f>
        <v>31179.599999999999</v>
      </c>
      <c r="U92" s="17">
        <f>(I92-L92)/4</f>
        <v>43974.5</v>
      </c>
      <c r="V92" s="17">
        <f t="shared" ref="V92:X92" si="64">U92</f>
        <v>43974.5</v>
      </c>
      <c r="W92" s="17">
        <f t="shared" si="64"/>
        <v>43974.5</v>
      </c>
      <c r="X92" s="17">
        <f t="shared" si="64"/>
        <v>43974.5</v>
      </c>
      <c r="Y92" s="17">
        <f t="shared" si="62"/>
        <v>354893</v>
      </c>
      <c r="Z92" s="17">
        <f>Y92-I92</f>
        <v>0</v>
      </c>
      <c r="AG92" s="8" t="s">
        <v>68</v>
      </c>
      <c r="XEQ92" s="29">
        <v>591400</v>
      </c>
    </row>
    <row r="93" spans="1:33 16371:16371" x14ac:dyDescent="0.25">
      <c r="A93" s="2" t="s">
        <v>64</v>
      </c>
      <c r="B93" s="28" t="e">
        <f>(#REF!-#REF!)/#REF!</f>
        <v>#REF!</v>
      </c>
      <c r="C93" s="27"/>
      <c r="D93" s="29">
        <v>3162521</v>
      </c>
      <c r="F93" s="15">
        <f>G93/D93</f>
        <v>-0.49269617498192109</v>
      </c>
      <c r="G93" s="42">
        <f>I93-D93</f>
        <v>-1558162</v>
      </c>
      <c r="I93" s="27">
        <v>1604359</v>
      </c>
      <c r="J93" s="13"/>
      <c r="K93" s="29">
        <v>2259060</v>
      </c>
      <c r="L93" s="17">
        <v>1134202</v>
      </c>
      <c r="M93" s="17">
        <v>85647</v>
      </c>
      <c r="N93" s="17">
        <f t="shared" si="59"/>
        <v>1219849</v>
      </c>
      <c r="O93" s="17">
        <f>112395+2050</f>
        <v>114445</v>
      </c>
      <c r="P93" s="17">
        <f>2050+94583</f>
        <v>96633</v>
      </c>
      <c r="Q93" s="17">
        <f t="shared" si="60"/>
        <v>1430927</v>
      </c>
      <c r="R93" s="17">
        <f>L93+136224+137684+115864-14896</f>
        <v>1509078</v>
      </c>
      <c r="S93" s="17"/>
      <c r="T93" s="17">
        <f>(I93-R93)/5</f>
        <v>19056.2</v>
      </c>
      <c r="U93" s="17">
        <f>(I93-L93)/4</f>
        <v>117539.25</v>
      </c>
      <c r="V93" s="17">
        <f t="shared" ref="V93:X93" si="65">U93</f>
        <v>117539.25</v>
      </c>
      <c r="W93" s="17">
        <f t="shared" si="65"/>
        <v>117539.25</v>
      </c>
      <c r="X93" s="17">
        <f t="shared" si="65"/>
        <v>117539.25</v>
      </c>
      <c r="Y93" s="17">
        <f t="shared" si="62"/>
        <v>1604359</v>
      </c>
      <c r="Z93" s="17">
        <f>Y93-I93</f>
        <v>0</v>
      </c>
      <c r="XEQ93" s="29">
        <v>3162521</v>
      </c>
    </row>
    <row r="94" spans="1:33 16371:16371" x14ac:dyDescent="0.25">
      <c r="B94" s="8"/>
      <c r="C94" s="8"/>
      <c r="R94" s="17"/>
      <c r="S94" s="17"/>
      <c r="T94" s="17"/>
      <c r="U94" s="17"/>
      <c r="V94" s="17"/>
      <c r="W94" s="17"/>
      <c r="X94" s="17"/>
      <c r="Y94" s="17"/>
      <c r="Z94" s="17"/>
    </row>
    <row r="95" spans="1:33 16371:16371" x14ac:dyDescent="0.25">
      <c r="A95" s="2" t="s">
        <v>65</v>
      </c>
      <c r="B95" s="20" t="e">
        <f>(#REF!-#REF!)/#REF!</f>
        <v>#REF!</v>
      </c>
      <c r="C95" s="8"/>
      <c r="D95" s="12">
        <f>D57+D64+D66+D67+D68+D74+D83+D91+D88+D90+D92+D93</f>
        <v>39613375</v>
      </c>
      <c r="G95" s="12">
        <f>G57+G64+G66+G67+G68+G74+G83+G91+G88+G90+G92+G93</f>
        <v>-18990592.699999999</v>
      </c>
      <c r="I95" s="12">
        <f>I57+I64+I66+I67+I68+I74+I83+I91+I88+I90+I92+I93</f>
        <v>22248726</v>
      </c>
      <c r="J95" s="25"/>
      <c r="K95" s="12">
        <f>K57+K64+K66+K67+K68+K74+K83+K91+K88+K90+K92+K93</f>
        <v>26000337</v>
      </c>
      <c r="L95" s="12">
        <f>L57+L64+L66+L67+L68+L74+L83+L91+L88+L90+L92+L93</f>
        <v>15481572</v>
      </c>
      <c r="M95" s="12">
        <f t="shared" ref="M95:P95" si="66">M57+M64+M66+M67+M68+M74+M83+M91+M88+M90+M92+M93</f>
        <v>2177732</v>
      </c>
      <c r="N95" s="12">
        <f t="shared" si="66"/>
        <v>17659304</v>
      </c>
      <c r="O95" s="12">
        <f>O57+O64+O66+O67+O68+O74+O83+O91+O88+O90+O92+O93</f>
        <v>1914979</v>
      </c>
      <c r="P95" s="12">
        <f t="shared" si="66"/>
        <v>1163957</v>
      </c>
      <c r="Q95" s="12">
        <f>Q57+Q64+Q66+Q67+Q68+Q74+Q83+Q91+Q88+Q90+Q92+Q93</f>
        <v>20738240</v>
      </c>
      <c r="R95" s="12" t="e">
        <f>R57+R64+R66+R67+R68+R74+R83+R91+R88+R90+R92+R93</f>
        <v>#REF!</v>
      </c>
      <c r="S95" s="17"/>
      <c r="T95" s="12" t="e">
        <f t="shared" ref="T95:X95" si="67">T57+T64+T66+T67+T68+T74+T83+T91+T88+T90+T92+T93</f>
        <v>#REF!</v>
      </c>
      <c r="U95" s="12">
        <f t="shared" si="67"/>
        <v>1621178.5732112634</v>
      </c>
      <c r="V95" s="12">
        <f t="shared" si="67"/>
        <v>2040753.4648037227</v>
      </c>
      <c r="W95" s="12">
        <f t="shared" si="67"/>
        <v>1645808.7993348273</v>
      </c>
      <c r="X95" s="12">
        <f t="shared" si="67"/>
        <v>1882393.1186513505</v>
      </c>
      <c r="Y95" s="12">
        <f>Y57+Y64+Y66+Y67+Y68+Y74+Y83+Y91+Y88+Y90+Y92+Y93</f>
        <v>22671705.956001163</v>
      </c>
      <c r="Z95" s="17">
        <f>Y95-I95</f>
        <v>422979.95600116253</v>
      </c>
      <c r="XEQ95" s="12">
        <f>XEQ57+XEQ64+XEQ66+XEQ67+XEQ68+XEQ74+XEQ83+XEQ91+XEQ88+XEQ90+XEQ92+XEQ93</f>
        <v>39613375</v>
      </c>
    </row>
    <row r="96" spans="1:33 16371:16371" x14ac:dyDescent="0.25">
      <c r="B96" s="8"/>
      <c r="C96" s="8"/>
      <c r="D96" s="13"/>
      <c r="G96" s="13"/>
      <c r="I96" s="8"/>
      <c r="J96" s="13"/>
      <c r="K96" s="13"/>
      <c r="L96" s="13"/>
      <c r="M96" s="13"/>
      <c r="N96" s="13">
        <f>L95+M95</f>
        <v>17659304</v>
      </c>
      <c r="O96" s="13"/>
      <c r="P96" s="13"/>
      <c r="Q96" s="17">
        <f>SUM(N95:P95)</f>
        <v>20738240</v>
      </c>
      <c r="R96" s="13"/>
      <c r="S96" s="17"/>
      <c r="T96" s="13"/>
      <c r="U96" s="13"/>
      <c r="V96" s="13"/>
      <c r="W96" s="13"/>
      <c r="X96" s="13"/>
      <c r="Y96" s="17">
        <f>L95+SUM(U95:X95)</f>
        <v>22671705.956001163</v>
      </c>
      <c r="Z96" s="17"/>
      <c r="XEQ96" s="13"/>
    </row>
    <row r="97" spans="1:26 16371:16371" ht="15.75" thickBot="1" x14ac:dyDescent="0.3">
      <c r="A97" s="2" t="s">
        <v>66</v>
      </c>
      <c r="B97" s="20" t="e">
        <f>(#REF!-#REF!)/#REF!</f>
        <v>#REF!</v>
      </c>
      <c r="C97" s="8"/>
      <c r="D97" s="19">
        <f>D45-D95</f>
        <v>10390716</v>
      </c>
      <c r="G97" s="19">
        <f>G45-G95</f>
        <v>-16461425.300000001</v>
      </c>
      <c r="I97" s="19">
        <f>I45-I95</f>
        <v>-8020677</v>
      </c>
      <c r="J97" s="25"/>
      <c r="K97" s="19">
        <f>K45-K95</f>
        <v>4009804</v>
      </c>
      <c r="L97" s="19">
        <f>L45-L95</f>
        <v>-6255626</v>
      </c>
      <c r="M97" s="19">
        <f t="shared" ref="M97:N97" si="68">M45-M95</f>
        <v>-2066421</v>
      </c>
      <c r="N97" s="19">
        <f t="shared" si="68"/>
        <v>-8322047</v>
      </c>
      <c r="O97" s="19">
        <f>O45-O95</f>
        <v>-1914979</v>
      </c>
      <c r="P97" s="19">
        <f>P45-P95</f>
        <v>-1163957</v>
      </c>
      <c r="Q97" s="19">
        <f>Q45-Q95</f>
        <v>-11400983</v>
      </c>
      <c r="R97" s="19" t="e">
        <f>R45-R95</f>
        <v>#REF!</v>
      </c>
      <c r="S97" s="17"/>
      <c r="T97" s="19" t="e">
        <f>T45-T95</f>
        <v>#REF!</v>
      </c>
      <c r="U97" s="19">
        <f t="shared" ref="U97:X97" si="69">U45-U95</f>
        <v>-525640.03612086992</v>
      </c>
      <c r="V97" s="19">
        <f t="shared" si="69"/>
        <v>-296156.99025875097</v>
      </c>
      <c r="W97" s="19">
        <f t="shared" si="69"/>
        <v>-143888.94147210126</v>
      </c>
      <c r="X97" s="19">
        <f t="shared" si="69"/>
        <v>-323057.9433095702</v>
      </c>
      <c r="Y97" s="17">
        <f t="shared" ref="Y97" si="70">L97+SUM(U97:X97)</f>
        <v>-7544369.9111612923</v>
      </c>
      <c r="Z97" s="17">
        <f>Y97-I97</f>
        <v>476307.08883870766</v>
      </c>
      <c r="XEQ97" s="19">
        <f>XEQ45-XEQ95</f>
        <v>10390716</v>
      </c>
    </row>
    <row r="98" spans="1:26 16371:16371" s="1" customFormat="1" ht="15.75" hidden="1" thickTop="1" x14ac:dyDescent="0.25">
      <c r="A98" s="26"/>
      <c r="B98" s="18"/>
      <c r="C98" s="17"/>
      <c r="D98" s="25"/>
      <c r="F98" s="18"/>
      <c r="G98" s="25"/>
      <c r="I98" s="25">
        <f>D97+G97</f>
        <v>-6070709.3000000007</v>
      </c>
      <c r="J98" s="25"/>
      <c r="K98" s="25"/>
      <c r="L98" s="17"/>
      <c r="M98" s="17"/>
      <c r="N98" s="13">
        <f>L97+M97</f>
        <v>-8322047</v>
      </c>
      <c r="O98" s="17"/>
      <c r="P98" s="17"/>
      <c r="Q98" s="17">
        <f>SUM(N97:P97)</f>
        <v>-11400983</v>
      </c>
      <c r="R98" s="17"/>
      <c r="S98" s="17"/>
      <c r="T98" s="17"/>
      <c r="U98" s="17"/>
      <c r="V98" s="17"/>
      <c r="W98" s="17"/>
      <c r="X98" s="17"/>
      <c r="Y98" s="17">
        <f>Y45-Y95</f>
        <v>-7544369.9111612905</v>
      </c>
      <c r="Z98" s="17"/>
      <c r="XEQ98" s="25"/>
    </row>
    <row r="99" spans="1:26 16371:16371" ht="15.75" hidden="1" thickTop="1" x14ac:dyDescent="0.25">
      <c r="B99" s="8"/>
      <c r="C99" s="8"/>
      <c r="D99" s="31">
        <f>D97/D45</f>
        <v>0.20779731802343931</v>
      </c>
      <c r="G99" s="31">
        <f>G97/G45</f>
        <v>0.46432971178114602</v>
      </c>
      <c r="I99" s="31">
        <f>I97/I45</f>
        <v>-0.56372289693407718</v>
      </c>
      <c r="J99" s="90"/>
      <c r="K99" s="31">
        <f>K97/K45</f>
        <v>0.13361496702064812</v>
      </c>
      <c r="L99" s="17" t="s">
        <v>142</v>
      </c>
      <c r="Q99" s="17" t="e">
        <f>Q97-R97</f>
        <v>#REF!</v>
      </c>
      <c r="R99" s="17">
        <v>3271000</v>
      </c>
      <c r="S99" s="17"/>
      <c r="T99" s="17"/>
      <c r="U99" s="17"/>
      <c r="V99" s="17"/>
      <c r="W99" s="17"/>
      <c r="X99" s="17"/>
      <c r="Y99" s="17"/>
      <c r="Z99" s="17"/>
      <c r="XEQ99" s="31">
        <f>XEQ97/XEQ45</f>
        <v>0.20779731802343931</v>
      </c>
    </row>
    <row r="100" spans="1:26 16371:16371" ht="15.75" hidden="1" thickTop="1" x14ac:dyDescent="0.25">
      <c r="B100" s="8"/>
      <c r="C100" s="8"/>
      <c r="I100" s="8">
        <f>I97-I98</f>
        <v>-1949967.6999999993</v>
      </c>
      <c r="J100" s="13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 16371:16371" ht="15.75" hidden="1" thickTop="1" x14ac:dyDescent="0.25">
      <c r="A101" s="2" t="s">
        <v>79</v>
      </c>
      <c r="G101" s="27" t="s">
        <v>110</v>
      </c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 16371:16371" ht="15.75" hidden="1" thickTop="1" x14ac:dyDescent="0.25">
      <c r="A102" s="32" t="s">
        <v>80</v>
      </c>
      <c r="G102" s="8" t="s">
        <v>99</v>
      </c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 16371:16371" ht="15.75" hidden="1" thickTop="1" x14ac:dyDescent="0.25">
      <c r="A103" t="s">
        <v>75</v>
      </c>
      <c r="D103" s="8">
        <f>7000000*0.02</f>
        <v>140000</v>
      </c>
      <c r="G103" s="8" t="s">
        <v>109</v>
      </c>
      <c r="K103" s="8">
        <f>7000000*0.02</f>
        <v>140000</v>
      </c>
      <c r="R103" s="17"/>
      <c r="S103" s="17"/>
      <c r="T103" s="17"/>
      <c r="U103" s="17"/>
      <c r="V103" s="17"/>
      <c r="W103" s="17"/>
      <c r="X103" s="17"/>
      <c r="Y103" s="17"/>
      <c r="Z103" s="17"/>
      <c r="XEQ103" s="8">
        <f>7000000*0.02</f>
        <v>140000</v>
      </c>
    </row>
    <row r="104" spans="1:26 16371:16371" ht="15.75" hidden="1" thickTop="1" x14ac:dyDescent="0.25">
      <c r="A104" t="s">
        <v>76</v>
      </c>
      <c r="D104" s="8">
        <f>800000*0.01</f>
        <v>8000</v>
      </c>
      <c r="K104" s="8">
        <f>800000*0.01</f>
        <v>8000</v>
      </c>
      <c r="R104" s="17"/>
      <c r="S104" s="17"/>
      <c r="T104" s="17"/>
      <c r="U104" s="17"/>
      <c r="V104" s="17"/>
      <c r="W104" s="17"/>
      <c r="X104" s="17"/>
      <c r="Y104" s="17"/>
      <c r="Z104" s="17"/>
      <c r="XEQ104" s="8">
        <f>800000*0.01</f>
        <v>8000</v>
      </c>
    </row>
    <row r="105" spans="1:26 16371:16371" ht="15.75" hidden="1" thickTop="1" x14ac:dyDescent="0.25"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 16371:16371" ht="15.75" hidden="1" thickTop="1" x14ac:dyDescent="0.25">
      <c r="A106" t="s">
        <v>77</v>
      </c>
      <c r="D106" s="8">
        <f>-60000*8</f>
        <v>-480000</v>
      </c>
      <c r="F106" s="33" t="s">
        <v>73</v>
      </c>
      <c r="K106" s="8">
        <f>-60000*8</f>
        <v>-480000</v>
      </c>
      <c r="R106" s="17"/>
      <c r="S106" s="17"/>
      <c r="T106" s="17"/>
      <c r="U106" s="17"/>
      <c r="V106" s="17"/>
      <c r="W106" s="17"/>
      <c r="X106" s="17"/>
      <c r="Y106" s="17"/>
      <c r="Z106" s="17"/>
      <c r="XEQ106" s="8">
        <f>-60000*8</f>
        <v>-480000</v>
      </c>
    </row>
    <row r="107" spans="1:26 16371:16371" ht="15.75" hidden="1" thickTop="1" x14ac:dyDescent="0.25">
      <c r="A107" t="s">
        <v>78</v>
      </c>
      <c r="D107" s="8">
        <f>-D106*0.5</f>
        <v>240000</v>
      </c>
      <c r="F107" s="33" t="s">
        <v>71</v>
      </c>
      <c r="K107" s="8">
        <f>-K106*0.5</f>
        <v>240000</v>
      </c>
      <c r="R107" s="17"/>
      <c r="S107" s="17"/>
      <c r="T107" s="17"/>
      <c r="U107" s="17"/>
      <c r="V107" s="17"/>
      <c r="W107" s="17"/>
      <c r="X107" s="17"/>
      <c r="Y107" s="17"/>
      <c r="Z107" s="17"/>
      <c r="XEQ107" s="8">
        <f>-XEQ106*0.5</f>
        <v>240000</v>
      </c>
    </row>
    <row r="108" spans="1:26 16371:16371" ht="15.75" hidden="1" thickTop="1" x14ac:dyDescent="0.25"/>
    <row r="109" spans="1:26 16371:16371" ht="15.75" hidden="1" thickTop="1" x14ac:dyDescent="0.25"/>
    <row r="110" spans="1:26 16371:16371" ht="15.75" hidden="1" thickTop="1" x14ac:dyDescent="0.25"/>
    <row r="111" spans="1:26 16371:16371" ht="15.75" hidden="1" thickTop="1" x14ac:dyDescent="0.25"/>
    <row r="112" spans="1:26 16371:16371" ht="15.75" hidden="1" thickTop="1" x14ac:dyDescent="0.25"/>
    <row r="113" ht="15.75" thickTop="1" x14ac:dyDescent="0.25"/>
  </sheetData>
  <pageMargins left="0.7" right="0.7" top="0.75" bottom="0.75" header="0.3" footer="0.3"/>
  <pageSetup orientation="portrait" r:id="rId1"/>
  <rowBreaks count="2" manualBreakCount="2">
    <brk id="45" max="10" man="1"/>
    <brk id="9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Normal="100" workbookViewId="0">
      <selection activeCell="A2" sqref="A2"/>
    </sheetView>
  </sheetViews>
  <sheetFormatPr defaultRowHeight="15" x14ac:dyDescent="0.25"/>
  <cols>
    <col min="1" max="1" width="9.7109375" bestFit="1" customWidth="1"/>
    <col min="2" max="2" width="11.42578125" bestFit="1" customWidth="1"/>
    <col min="5" max="5" width="12" style="8" bestFit="1" customWidth="1"/>
    <col min="6" max="6" width="5.28515625" style="8" customWidth="1"/>
    <col min="7" max="7" width="13.28515625" style="8" customWidth="1"/>
    <col min="8" max="8" width="13.85546875" style="8" customWidth="1"/>
    <col min="9" max="9" width="15.28515625" style="8" customWidth="1"/>
    <col min="10" max="10" width="12.85546875" style="8" customWidth="1"/>
    <col min="11" max="11" width="14.140625" style="8" customWidth="1"/>
    <col min="12" max="12" width="13.28515625" style="8" customWidth="1"/>
    <col min="13" max="13" width="11.85546875" style="8" customWidth="1"/>
    <col min="14" max="14" width="6.28515625" style="8" customWidth="1"/>
    <col min="15" max="15" width="14" style="8" bestFit="1" customWidth="1"/>
    <col min="16" max="16" width="6.85546875" style="8" customWidth="1"/>
    <col min="17" max="17" width="3.85546875" style="8" customWidth="1"/>
    <col min="18" max="18" width="22.28515625" style="8" customWidth="1"/>
    <col min="19" max="19" width="6.140625" customWidth="1"/>
    <col min="20" max="20" width="10.140625" customWidth="1"/>
    <col min="21" max="21" width="20.5703125" customWidth="1"/>
  </cols>
  <sheetData>
    <row r="1" spans="1:18" x14ac:dyDescent="0.25">
      <c r="A1" s="50">
        <v>43995</v>
      </c>
      <c r="E1" s="30" t="s">
        <v>143</v>
      </c>
      <c r="F1" s="30"/>
      <c r="G1" s="30" t="s">
        <v>144</v>
      </c>
      <c r="H1" s="30" t="s">
        <v>145</v>
      </c>
      <c r="I1" s="30" t="s">
        <v>135</v>
      </c>
      <c r="J1" s="30" t="s">
        <v>154</v>
      </c>
      <c r="K1" s="30" t="s">
        <v>155</v>
      </c>
      <c r="L1" s="30" t="s">
        <v>138</v>
      </c>
      <c r="M1" s="30" t="s">
        <v>139</v>
      </c>
      <c r="N1" s="30"/>
      <c r="O1" s="30" t="s">
        <v>156</v>
      </c>
      <c r="P1" s="30"/>
      <c r="Q1" s="30"/>
      <c r="R1" s="30" t="s">
        <v>146</v>
      </c>
    </row>
    <row r="2" spans="1:18" x14ac:dyDescent="0.25">
      <c r="E2" s="30" t="s">
        <v>158</v>
      </c>
      <c r="F2" s="30"/>
      <c r="G2" s="30" t="s">
        <v>147</v>
      </c>
      <c r="H2" s="30" t="s">
        <v>147</v>
      </c>
      <c r="I2" s="30" t="s">
        <v>147</v>
      </c>
      <c r="J2" s="30" t="s">
        <v>147</v>
      </c>
      <c r="K2" s="30" t="s">
        <v>147</v>
      </c>
      <c r="L2" s="30" t="s">
        <v>147</v>
      </c>
      <c r="M2" s="30" t="s">
        <v>147</v>
      </c>
      <c r="N2" s="30"/>
      <c r="O2" s="30" t="s">
        <v>139</v>
      </c>
      <c r="P2" s="30"/>
      <c r="Q2" s="30"/>
      <c r="R2" s="30" t="s">
        <v>148</v>
      </c>
    </row>
    <row r="3" spans="1:18" x14ac:dyDescent="0.25">
      <c r="O3" s="30"/>
    </row>
    <row r="5" spans="1:18" x14ac:dyDescent="0.25">
      <c r="A5" s="2" t="s">
        <v>31</v>
      </c>
      <c r="E5" s="8">
        <v>8539818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O5" s="8">
        <f>SUM(E5:M5)</f>
        <v>8539818</v>
      </c>
      <c r="P5" s="15"/>
      <c r="R5" s="8">
        <v>20999578</v>
      </c>
    </row>
    <row r="6" spans="1:18" x14ac:dyDescent="0.25">
      <c r="A6" s="2"/>
      <c r="R6" s="8">
        <f>SUM(E6:O6)</f>
        <v>0</v>
      </c>
    </row>
    <row r="7" spans="1:18" x14ac:dyDescent="0.25">
      <c r="A7" s="2" t="s">
        <v>149</v>
      </c>
      <c r="E7" s="8">
        <v>-11039452</v>
      </c>
      <c r="O7" s="8">
        <f>SUM(E7:M7)</f>
        <v>-11039452</v>
      </c>
      <c r="R7" s="8">
        <v>-27986473</v>
      </c>
    </row>
    <row r="8" spans="1:18" x14ac:dyDescent="0.25">
      <c r="A8" s="2" t="s">
        <v>150</v>
      </c>
      <c r="G8" s="8">
        <f>-'[3]weekly exp'!$N$19</f>
        <v>-1963070.39</v>
      </c>
      <c r="H8" s="8">
        <f>-'[3]weekly exp'!$S$19</f>
        <v>-1163956.8999999999</v>
      </c>
      <c r="I8" s="8">
        <f>-'[3]weekly exp'!$V$19</f>
        <v>-1177779.4000000001</v>
      </c>
      <c r="J8" s="8">
        <f>-'[3]weekly exp'!$AA$19</f>
        <v>-1199464.0999999999</v>
      </c>
      <c r="K8" s="8">
        <f>-'[3]weekly exp'!$AF$19</f>
        <v>-1593472.5</v>
      </c>
      <c r="L8" s="8">
        <f>-'[3]weekly exp'!$AI$19</f>
        <v>-1172415.1000000001</v>
      </c>
      <c r="M8" s="8">
        <f>-'[3]weekly exp'!$AN$19</f>
        <v>-1579299.7</v>
      </c>
      <c r="O8" s="8">
        <f>SUM(E8:M8)</f>
        <v>-9849458.0899999999</v>
      </c>
    </row>
    <row r="9" spans="1:18" x14ac:dyDescent="0.25">
      <c r="A9" s="2"/>
    </row>
    <row r="10" spans="1:18" ht="15.75" thickBot="1" x14ac:dyDescent="0.3">
      <c r="A10" s="2" t="s">
        <v>151</v>
      </c>
      <c r="E10" s="51">
        <f>E5+E7</f>
        <v>-2499634</v>
      </c>
      <c r="F10" s="27"/>
      <c r="G10" s="55">
        <f t="shared" ref="G10:M10" si="0">SUM(G5:G8)</f>
        <v>-1963070.39</v>
      </c>
      <c r="H10" s="55">
        <f t="shared" si="0"/>
        <v>-1163956.8999999999</v>
      </c>
      <c r="I10" s="55">
        <f t="shared" si="0"/>
        <v>-1177779.4000000001</v>
      </c>
      <c r="J10" s="55">
        <f t="shared" si="0"/>
        <v>-1199464.0999999999</v>
      </c>
      <c r="K10" s="55">
        <f t="shared" si="0"/>
        <v>-1593472.5</v>
      </c>
      <c r="L10" s="55">
        <f t="shared" si="0"/>
        <v>-1172415.1000000001</v>
      </c>
      <c r="M10" s="55">
        <f t="shared" si="0"/>
        <v>-1579299.7</v>
      </c>
      <c r="N10" s="27"/>
      <c r="O10" s="56">
        <f>SUM(O5:O8)</f>
        <v>-12349092.09</v>
      </c>
      <c r="R10" s="56">
        <f>SUM(R5:R8)</f>
        <v>-6986895</v>
      </c>
    </row>
    <row r="11" spans="1:18" ht="15.75" thickTop="1" x14ac:dyDescent="0.25">
      <c r="A11" s="2" t="s">
        <v>152</v>
      </c>
      <c r="E11" s="39">
        <f>E10</f>
        <v>-2499634</v>
      </c>
      <c r="G11" s="13">
        <f>E11+G10</f>
        <v>-4462704.3899999997</v>
      </c>
      <c r="H11" s="13">
        <f>H10+G11</f>
        <v>-5626661.2899999991</v>
      </c>
      <c r="I11" s="13">
        <f t="shared" ref="I11:M11" si="1">I10+H11</f>
        <v>-6804440.6899999995</v>
      </c>
      <c r="J11" s="13">
        <f t="shared" si="1"/>
        <v>-8003904.7899999991</v>
      </c>
      <c r="K11" s="13">
        <f t="shared" si="1"/>
        <v>-9597377.2899999991</v>
      </c>
      <c r="L11" s="13">
        <f t="shared" si="1"/>
        <v>-10769792.389999999</v>
      </c>
      <c r="M11" s="13">
        <f t="shared" si="1"/>
        <v>-12349092.089999998</v>
      </c>
      <c r="O11" s="13">
        <f>SUM(E10:M10)</f>
        <v>-12349092.089999998</v>
      </c>
      <c r="R11" s="46"/>
    </row>
    <row r="12" spans="1:18" x14ac:dyDescent="0.25">
      <c r="A12" s="2"/>
    </row>
    <row r="13" spans="1:18" x14ac:dyDescent="0.25">
      <c r="A13" s="2" t="s">
        <v>160</v>
      </c>
      <c r="G13" s="8">
        <v>2541000</v>
      </c>
      <c r="O13" s="8">
        <f>G13</f>
        <v>2541000</v>
      </c>
    </row>
    <row r="14" spans="1:18" x14ac:dyDescent="0.25">
      <c r="A14" s="2"/>
      <c r="B14" s="58">
        <v>3271000</v>
      </c>
      <c r="C14" s="2" t="s">
        <v>159</v>
      </c>
      <c r="G14" s="38">
        <f>G11+G13</f>
        <v>-1921704.3899999997</v>
      </c>
      <c r="O14" s="59">
        <f>M11+O13</f>
        <v>-9808092.089999998</v>
      </c>
    </row>
    <row r="15" spans="1:18" x14ac:dyDescent="0.25">
      <c r="A15" s="2"/>
    </row>
    <row r="16" spans="1:18" ht="15.75" thickBot="1" x14ac:dyDescent="0.3">
      <c r="A16" s="2" t="s">
        <v>153</v>
      </c>
      <c r="E16" s="16">
        <v>3861683</v>
      </c>
      <c r="F16" s="16"/>
      <c r="G16" s="16">
        <v>909164</v>
      </c>
      <c r="H16" s="16">
        <v>1019685</v>
      </c>
      <c r="I16" s="16">
        <v>948702</v>
      </c>
      <c r="J16" s="16">
        <v>1200610</v>
      </c>
      <c r="K16" s="16">
        <v>1731915</v>
      </c>
      <c r="L16" s="16">
        <v>759517</v>
      </c>
      <c r="M16" s="16">
        <v>-40559</v>
      </c>
      <c r="R16" s="56">
        <f>SUM(E16:O16)</f>
        <v>10390717</v>
      </c>
    </row>
    <row r="17" spans="1:22" ht="15.75" thickTop="1" x14ac:dyDescent="0.25">
      <c r="A17" s="2" t="s">
        <v>157</v>
      </c>
      <c r="B17" s="2"/>
      <c r="C17" s="2"/>
      <c r="E17" s="38">
        <f>E16</f>
        <v>3861683</v>
      </c>
      <c r="F17" s="38"/>
      <c r="G17" s="57">
        <f>G16+E17</f>
        <v>4770847</v>
      </c>
      <c r="H17" s="57">
        <f t="shared" ref="H17" si="2">H16+G17</f>
        <v>5790532</v>
      </c>
      <c r="I17" s="57">
        <f t="shared" ref="I17" si="3">I16+H17</f>
        <v>6739234</v>
      </c>
      <c r="J17" s="57">
        <f t="shared" ref="J17" si="4">J16+I17</f>
        <v>7939844</v>
      </c>
      <c r="K17" s="57">
        <f t="shared" ref="K17" si="5">K16+J17</f>
        <v>9671759</v>
      </c>
      <c r="L17" s="57">
        <f t="shared" ref="L17" si="6">L16+K17</f>
        <v>10431276</v>
      </c>
      <c r="M17" s="57">
        <f t="shared" ref="M17" si="7">M16+L17</f>
        <v>10390717</v>
      </c>
      <c r="O17" s="13"/>
    </row>
    <row r="19" spans="1:22" x14ac:dyDescent="0.25">
      <c r="A19" s="2"/>
      <c r="S19" s="52"/>
      <c r="T19" s="52"/>
      <c r="U19" s="39"/>
      <c r="V19" s="52"/>
    </row>
    <row r="20" spans="1:22" x14ac:dyDescent="0.25">
      <c r="S20" s="52"/>
      <c r="T20" s="52"/>
      <c r="U20" s="39"/>
      <c r="V20" s="52"/>
    </row>
    <row r="21" spans="1:22" x14ac:dyDescent="0.25">
      <c r="S21" s="52"/>
      <c r="T21" s="52"/>
      <c r="U21" s="39"/>
      <c r="V21" s="52"/>
    </row>
    <row r="22" spans="1:22" x14ac:dyDescent="0.25">
      <c r="S22" s="52"/>
      <c r="T22" s="52"/>
      <c r="U22" s="39"/>
      <c r="V22" s="52"/>
    </row>
    <row r="23" spans="1:22" x14ac:dyDescent="0.25">
      <c r="S23" s="52"/>
      <c r="T23" s="52"/>
      <c r="U23" s="39"/>
      <c r="V23" s="52"/>
    </row>
    <row r="24" spans="1:22" x14ac:dyDescent="0.25">
      <c r="S24" s="52"/>
      <c r="T24" s="52"/>
      <c r="U24" s="39"/>
      <c r="V24" s="52"/>
    </row>
    <row r="25" spans="1:22" x14ac:dyDescent="0.25">
      <c r="S25" s="52"/>
      <c r="T25" s="52"/>
      <c r="U25" s="39"/>
      <c r="V25" s="52"/>
    </row>
    <row r="26" spans="1:22" x14ac:dyDescent="0.25">
      <c r="S26" s="52"/>
      <c r="T26" s="52"/>
      <c r="U26" s="46"/>
      <c r="V26" s="52"/>
    </row>
    <row r="27" spans="1:22" x14ac:dyDescent="0.25">
      <c r="S27" s="52"/>
      <c r="T27" s="52"/>
      <c r="U27" s="39"/>
      <c r="V27" s="52"/>
    </row>
    <row r="28" spans="1:22" x14ac:dyDescent="0.25">
      <c r="S28" s="52"/>
      <c r="T28" s="52"/>
      <c r="U28" s="52"/>
      <c r="V28" s="52"/>
    </row>
    <row r="29" spans="1:22" x14ac:dyDescent="0.25">
      <c r="S29" s="52"/>
      <c r="T29" s="39"/>
      <c r="U29" s="53"/>
      <c r="V29" s="52"/>
    </row>
    <row r="30" spans="1:22" x14ac:dyDescent="0.25">
      <c r="A30" s="2"/>
      <c r="S30" s="52"/>
      <c r="T30" s="39"/>
      <c r="U30" s="53"/>
      <c r="V30" s="52"/>
    </row>
    <row r="31" spans="1:22" x14ac:dyDescent="0.25">
      <c r="S31" s="52"/>
      <c r="T31" s="52"/>
      <c r="U31" s="53"/>
      <c r="V31" s="52"/>
    </row>
    <row r="32" spans="1:22" x14ac:dyDescent="0.25">
      <c r="S32" s="52"/>
      <c r="T32" s="52"/>
      <c r="U32" s="53"/>
      <c r="V32" s="52"/>
    </row>
    <row r="33" spans="1:22" x14ac:dyDescent="0.25">
      <c r="S33" s="52"/>
      <c r="T33" s="52"/>
      <c r="U33" s="54"/>
      <c r="V33" s="52"/>
    </row>
    <row r="34" spans="1:22" x14ac:dyDescent="0.25">
      <c r="A34" s="32"/>
      <c r="B34" s="2"/>
      <c r="C34" s="2"/>
      <c r="D34" s="2"/>
      <c r="E34" s="27"/>
      <c r="F34" s="27"/>
      <c r="S34" s="52"/>
      <c r="T34" s="52"/>
      <c r="U34" s="39"/>
      <c r="V34" s="52"/>
    </row>
    <row r="35" spans="1:22" x14ac:dyDescent="0.25">
      <c r="A35" s="32"/>
      <c r="S35" s="52"/>
      <c r="T35" s="52"/>
      <c r="U35" s="52"/>
      <c r="V35" s="52"/>
    </row>
    <row r="36" spans="1:22" x14ac:dyDescent="0.25">
      <c r="S36" s="52"/>
      <c r="T36" s="52"/>
      <c r="U36" s="46"/>
      <c r="V36" s="52"/>
    </row>
    <row r="37" spans="1:22" x14ac:dyDescent="0.25">
      <c r="S37" s="52"/>
      <c r="T37" s="52"/>
      <c r="U37" s="52"/>
      <c r="V37" s="52"/>
    </row>
  </sheetData>
  <pageMargins left="0.7" right="0.7" top="0.75" bottom="0.75" header="0.3" footer="0.3"/>
  <pageSetup paperSize="5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21" sqref="H21"/>
    </sheetView>
  </sheetViews>
  <sheetFormatPr defaultRowHeight="15" x14ac:dyDescent="0.25"/>
  <cols>
    <col min="8" max="8" width="12.140625" customWidth="1"/>
    <col min="10" max="10" width="9.5703125" bestFit="1" customWidth="1"/>
  </cols>
  <sheetData>
    <row r="1" spans="1:10" x14ac:dyDescent="0.25">
      <c r="H1" s="48" t="s">
        <v>73</v>
      </c>
    </row>
    <row r="2" spans="1:10" x14ac:dyDescent="0.25">
      <c r="H2" s="47" t="s">
        <v>66</v>
      </c>
    </row>
    <row r="4" spans="1:10" x14ac:dyDescent="0.25">
      <c r="A4" s="2" t="s">
        <v>162</v>
      </c>
      <c r="B4" s="2"/>
      <c r="H4" s="8">
        <v>-5721479</v>
      </c>
    </row>
    <row r="5" spans="1:10" x14ac:dyDescent="0.25">
      <c r="A5" t="s">
        <v>129</v>
      </c>
      <c r="H5" s="8">
        <v>2541000</v>
      </c>
    </row>
    <row r="6" spans="1:10" x14ac:dyDescent="0.25">
      <c r="B6" t="s">
        <v>130</v>
      </c>
      <c r="H6" s="16">
        <f>H4+H5</f>
        <v>-3180479</v>
      </c>
    </row>
    <row r="7" spans="1:10" x14ac:dyDescent="0.25">
      <c r="H7" s="46"/>
    </row>
    <row r="9" spans="1:10" x14ac:dyDescent="0.25">
      <c r="A9" s="2" t="s">
        <v>131</v>
      </c>
      <c r="B9" s="2"/>
      <c r="H9" s="8">
        <v>-4841789</v>
      </c>
      <c r="J9" s="8"/>
    </row>
    <row r="10" spans="1:10" x14ac:dyDescent="0.25">
      <c r="A10" t="s">
        <v>129</v>
      </c>
      <c r="H10" s="8">
        <v>2541000</v>
      </c>
    </row>
    <row r="11" spans="1:10" x14ac:dyDescent="0.25">
      <c r="B11" t="s">
        <v>130</v>
      </c>
      <c r="H11" s="16">
        <f>H9+H10</f>
        <v>-2300789</v>
      </c>
    </row>
    <row r="12" spans="1:10" x14ac:dyDescent="0.25">
      <c r="H12" s="46"/>
    </row>
    <row r="13" spans="1:10" x14ac:dyDescent="0.25">
      <c r="H13" s="46"/>
    </row>
    <row r="14" spans="1:10" x14ac:dyDescent="0.25">
      <c r="A14" s="2" t="s">
        <v>132</v>
      </c>
      <c r="H14" s="8">
        <f>'2021'!I97</f>
        <v>-8020677</v>
      </c>
    </row>
    <row r="15" spans="1:10" x14ac:dyDescent="0.25">
      <c r="A15" t="s">
        <v>129</v>
      </c>
      <c r="H15" s="8">
        <v>2541000</v>
      </c>
    </row>
    <row r="16" spans="1:10" x14ac:dyDescent="0.25">
      <c r="B16" t="s">
        <v>130</v>
      </c>
      <c r="H16" s="16">
        <f>H14+H15</f>
        <v>-5479677</v>
      </c>
    </row>
    <row r="19" spans="1:8" x14ac:dyDescent="0.25">
      <c r="A19" s="2" t="s">
        <v>161</v>
      </c>
      <c r="H19" s="8">
        <f>Sheet2!O10</f>
        <v>-12349092.09</v>
      </c>
    </row>
    <row r="20" spans="1:8" x14ac:dyDescent="0.25">
      <c r="A20" t="s">
        <v>129</v>
      </c>
      <c r="H20" s="8">
        <v>2541000</v>
      </c>
    </row>
    <row r="21" spans="1:8" x14ac:dyDescent="0.25">
      <c r="B21" t="s">
        <v>130</v>
      </c>
      <c r="H21" s="16">
        <f>H19+H20</f>
        <v>-9808092.0899999999</v>
      </c>
    </row>
  </sheetData>
  <pageMargins left="0.7" right="0.7" top="0.75" bottom="0.75" header="0.3" footer="0.3"/>
  <pageSetup orientation="portrait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workbookViewId="0">
      <pane xSplit="10" ySplit="2" topLeftCell="K16" activePane="bottomRight" state="frozen"/>
      <selection pane="topRight" activeCell="K1" sqref="K1"/>
      <selection pane="bottomLeft" activeCell="A3" sqref="A3"/>
      <selection pane="bottomRight" activeCell="E33" sqref="E33"/>
    </sheetView>
  </sheetViews>
  <sheetFormatPr defaultRowHeight="15" x14ac:dyDescent="0.25"/>
  <cols>
    <col min="2" max="2" width="10.7109375" customWidth="1"/>
    <col min="3" max="3" width="13.140625" bestFit="1" customWidth="1"/>
    <col min="5" max="5" width="12" style="15" bestFit="1" customWidth="1"/>
    <col min="7" max="7" width="10.42578125" bestFit="1" customWidth="1"/>
    <col min="8" max="8" width="10.28515625" customWidth="1"/>
    <col min="9" max="9" width="12.7109375" customWidth="1"/>
    <col min="11" max="11" width="11.5703125" hidden="1" customWidth="1"/>
    <col min="12" max="12" width="0" hidden="1" customWidth="1"/>
    <col min="13" max="13" width="11.140625" hidden="1" customWidth="1"/>
    <col min="15" max="15" width="13.140625" bestFit="1" customWidth="1"/>
    <col min="16" max="16" width="12" customWidth="1"/>
    <col min="17" max="17" width="12" style="8" customWidth="1"/>
    <col min="18" max="18" width="14.140625" style="35" bestFit="1" customWidth="1"/>
    <col min="22" max="22" width="13.140625" style="35" bestFit="1" customWidth="1"/>
    <col min="23" max="23" width="8.85546875" style="15"/>
  </cols>
  <sheetData>
    <row r="1" spans="1:23" x14ac:dyDescent="0.25">
      <c r="A1" s="70"/>
      <c r="B1" s="70"/>
      <c r="C1" s="70"/>
      <c r="D1" s="70"/>
      <c r="E1" s="71" t="s">
        <v>212</v>
      </c>
      <c r="F1" s="72">
        <v>2020</v>
      </c>
      <c r="I1" s="34" t="s">
        <v>204</v>
      </c>
      <c r="K1" t="s">
        <v>90</v>
      </c>
      <c r="M1" s="34">
        <v>2020</v>
      </c>
      <c r="O1" s="37" t="s">
        <v>73</v>
      </c>
      <c r="Q1" s="36" t="s">
        <v>73</v>
      </c>
    </row>
    <row r="2" spans="1:23" x14ac:dyDescent="0.25">
      <c r="A2" s="70"/>
      <c r="B2" s="70"/>
      <c r="C2" s="70"/>
      <c r="D2" s="70"/>
      <c r="E2" s="73"/>
      <c r="F2" s="72" t="s">
        <v>213</v>
      </c>
      <c r="I2" t="s">
        <v>89</v>
      </c>
      <c r="K2" t="s">
        <v>91</v>
      </c>
      <c r="M2" t="s">
        <v>92</v>
      </c>
      <c r="O2" t="s">
        <v>97</v>
      </c>
      <c r="Q2" s="41" t="s">
        <v>98</v>
      </c>
    </row>
    <row r="3" spans="1:23" x14ac:dyDescent="0.25">
      <c r="A3" s="70" t="s">
        <v>81</v>
      </c>
      <c r="B3" s="70"/>
      <c r="C3" s="70" t="s">
        <v>86</v>
      </c>
      <c r="D3" s="70"/>
      <c r="E3" s="73">
        <f>E5-E4</f>
        <v>1.0696646677356987E-2</v>
      </c>
      <c r="F3" s="73">
        <f>R4</f>
        <v>1.7333074504087075E-2</v>
      </c>
      <c r="Q3" s="17">
        <f>E3*V6</f>
        <v>48325.085729383172</v>
      </c>
      <c r="R3" s="68">
        <f>'2021'!I50</f>
        <v>78307</v>
      </c>
    </row>
    <row r="4" spans="1:23" x14ac:dyDescent="0.25">
      <c r="A4" s="70"/>
      <c r="B4" s="70"/>
      <c r="C4" s="70" t="s">
        <v>87</v>
      </c>
      <c r="D4" s="70"/>
      <c r="E4" s="73">
        <f>1135375/20908009</f>
        <v>5.4303353322643015E-2</v>
      </c>
      <c r="F4" s="73">
        <f>W12</f>
        <v>0.14861129771952103</v>
      </c>
      <c r="I4" s="8">
        <f>'2021'!I8</f>
        <v>4517779</v>
      </c>
      <c r="K4" s="8">
        <f>E4*I4</f>
        <v>245330.54927061684</v>
      </c>
      <c r="L4" s="15">
        <f>K4/M4</f>
        <v>0.21607887197676259</v>
      </c>
      <c r="M4" s="8">
        <v>1135375</v>
      </c>
      <c r="O4" s="8">
        <f>'2021'!I8</f>
        <v>4517779</v>
      </c>
      <c r="Q4" s="8">
        <f>O4*F4</f>
        <v>671393</v>
      </c>
      <c r="R4" s="15">
        <f>R3/V6</f>
        <v>1.7333074504087075E-2</v>
      </c>
      <c r="S4" s="2" t="s">
        <v>194</v>
      </c>
    </row>
    <row r="5" spans="1:23" x14ac:dyDescent="0.25">
      <c r="A5" s="70"/>
      <c r="B5" s="70"/>
      <c r="C5" s="70" t="s">
        <v>88</v>
      </c>
      <c r="D5" s="70"/>
      <c r="E5" s="73">
        <v>6.5000000000000002E-2</v>
      </c>
      <c r="F5" s="73">
        <f>F3+F4</f>
        <v>0.16594437222360811</v>
      </c>
      <c r="M5" s="8"/>
      <c r="Q5" s="38">
        <f>Q3+Q4</f>
        <v>719718.08572938317</v>
      </c>
      <c r="S5" t="s">
        <v>195</v>
      </c>
    </row>
    <row r="6" spans="1:23" x14ac:dyDescent="0.25">
      <c r="A6" s="70"/>
      <c r="B6" s="70"/>
      <c r="C6" s="70"/>
      <c r="D6" s="70"/>
      <c r="E6" s="73"/>
      <c r="F6" s="70"/>
      <c r="M6" s="8"/>
      <c r="S6" t="s">
        <v>196</v>
      </c>
      <c r="V6" s="35">
        <f>'2021'!I8</f>
        <v>4517779</v>
      </c>
    </row>
    <row r="7" spans="1:23" x14ac:dyDescent="0.25">
      <c r="A7" s="70" t="s">
        <v>82</v>
      </c>
      <c r="B7" s="70"/>
      <c r="C7" s="70" t="s">
        <v>86</v>
      </c>
      <c r="D7" s="70"/>
      <c r="E7" s="74">
        <v>0.46600000000000003</v>
      </c>
      <c r="F7" s="73">
        <f>R8</f>
        <v>0.64059704108354332</v>
      </c>
      <c r="M7" s="8"/>
      <c r="Q7" s="8">
        <f>O8*E7</f>
        <v>595595.99800000002</v>
      </c>
      <c r="R7" s="68">
        <v>818749</v>
      </c>
    </row>
    <row r="8" spans="1:23" x14ac:dyDescent="0.25">
      <c r="A8" s="70"/>
      <c r="B8" s="70"/>
      <c r="C8" s="70" t="s">
        <v>87</v>
      </c>
      <c r="D8" s="70"/>
      <c r="E8" s="73">
        <f>E9-E7</f>
        <v>7.3000000000000009E-2</v>
      </c>
      <c r="F8" s="73">
        <f>W18</f>
        <v>0.14268803062038035</v>
      </c>
      <c r="I8" s="8">
        <f>'2021'!I9</f>
        <v>1278103</v>
      </c>
      <c r="K8" s="8">
        <f>E8*I8</f>
        <v>93301.519000000015</v>
      </c>
      <c r="L8" s="15">
        <f>K8/M8</f>
        <v>0.22543895608723599</v>
      </c>
      <c r="M8" s="8">
        <f>413866</f>
        <v>413866</v>
      </c>
      <c r="O8" s="8">
        <f>'2021'!I9</f>
        <v>1278103</v>
      </c>
      <c r="Q8" s="8">
        <f>O8*F8</f>
        <v>182370</v>
      </c>
      <c r="R8" s="69">
        <f>R7/V16</f>
        <v>0.64059704108354332</v>
      </c>
      <c r="S8" t="s">
        <v>197</v>
      </c>
    </row>
    <row r="9" spans="1:23" x14ac:dyDescent="0.25">
      <c r="A9" s="70"/>
      <c r="B9" s="70"/>
      <c r="C9" s="70" t="s">
        <v>88</v>
      </c>
      <c r="D9" s="70"/>
      <c r="E9" s="73">
        <v>0.53900000000000003</v>
      </c>
      <c r="F9" s="73">
        <f>F7+F8</f>
        <v>0.7832850717039237</v>
      </c>
      <c r="M9" s="8"/>
      <c r="Q9" s="38">
        <f>Q7+Q8</f>
        <v>777965.99800000002</v>
      </c>
      <c r="S9" t="s">
        <v>198</v>
      </c>
      <c r="U9">
        <v>17208</v>
      </c>
    </row>
    <row r="10" spans="1:23" x14ac:dyDescent="0.25">
      <c r="A10" s="70"/>
      <c r="B10" s="70"/>
      <c r="C10" s="70"/>
      <c r="D10" s="70"/>
      <c r="E10" s="73"/>
      <c r="F10" s="70"/>
      <c r="M10" s="8"/>
      <c r="S10" t="s">
        <v>199</v>
      </c>
      <c r="U10">
        <v>570128</v>
      </c>
    </row>
    <row r="11" spans="1:23" x14ac:dyDescent="0.25">
      <c r="A11" s="70" t="s">
        <v>35</v>
      </c>
      <c r="B11" s="70"/>
      <c r="C11" s="70" t="s">
        <v>86</v>
      </c>
      <c r="D11" s="70"/>
      <c r="E11" s="73">
        <v>0.28499999999999998</v>
      </c>
      <c r="F11" s="73">
        <f>R12</f>
        <v>0.37825598156103851</v>
      </c>
      <c r="M11" s="8"/>
      <c r="Q11" s="8">
        <f>O12*E11</f>
        <v>80867.89499999999</v>
      </c>
      <c r="R11" s="35">
        <v>107329</v>
      </c>
      <c r="S11" t="s">
        <v>200</v>
      </c>
      <c r="U11">
        <v>37099</v>
      </c>
    </row>
    <row r="12" spans="1:23" x14ac:dyDescent="0.25">
      <c r="A12" s="70"/>
      <c r="B12" s="70"/>
      <c r="C12" s="70" t="s">
        <v>87</v>
      </c>
      <c r="D12" s="70"/>
      <c r="E12" s="73">
        <f>E13-E11</f>
        <v>0.10300000000000004</v>
      </c>
      <c r="F12" s="73">
        <f>W22</f>
        <v>0.21036345758721678</v>
      </c>
      <c r="I12" s="8">
        <f>'2021'!I10</f>
        <v>283747</v>
      </c>
      <c r="K12" s="8">
        <f>E12*I12</f>
        <v>29225.94100000001</v>
      </c>
      <c r="L12" s="15">
        <f>K12/M12</f>
        <v>0.27801132936979794</v>
      </c>
      <c r="M12" s="8">
        <v>105125</v>
      </c>
      <c r="O12" s="8">
        <f>'2021'!I10</f>
        <v>283747</v>
      </c>
      <c r="Q12" s="8">
        <f>O12*F12</f>
        <v>59690</v>
      </c>
      <c r="R12" s="15">
        <f>R11/V21</f>
        <v>0.37825598156103851</v>
      </c>
      <c r="S12" t="s">
        <v>84</v>
      </c>
      <c r="U12">
        <v>46958</v>
      </c>
      <c r="V12" s="35">
        <f>SUM(U9:U12)</f>
        <v>671393</v>
      </c>
      <c r="W12" s="15">
        <f>V12/V6</f>
        <v>0.14861129771952103</v>
      </c>
    </row>
    <row r="13" spans="1:23" x14ac:dyDescent="0.25">
      <c r="A13" s="70"/>
      <c r="B13" s="70"/>
      <c r="C13" s="70" t="s">
        <v>88</v>
      </c>
      <c r="D13" s="70"/>
      <c r="E13" s="73">
        <v>0.38800000000000001</v>
      </c>
      <c r="F13" s="73">
        <f>F11+F12</f>
        <v>0.58861943914825532</v>
      </c>
      <c r="M13" s="8"/>
      <c r="Q13" s="38">
        <f>Q11+Q12</f>
        <v>140557.89499999999</v>
      </c>
    </row>
    <row r="14" spans="1:23" x14ac:dyDescent="0.25">
      <c r="A14" s="70"/>
      <c r="B14" s="70"/>
      <c r="C14" s="70"/>
      <c r="D14" s="70"/>
      <c r="E14" s="73"/>
      <c r="F14" s="70"/>
      <c r="M14" s="8"/>
      <c r="S14" s="2" t="s">
        <v>82</v>
      </c>
    </row>
    <row r="15" spans="1:23" x14ac:dyDescent="0.25">
      <c r="A15" s="70" t="s">
        <v>83</v>
      </c>
      <c r="B15" s="70"/>
      <c r="C15" s="70" t="s">
        <v>86</v>
      </c>
      <c r="D15" s="70"/>
      <c r="E15" s="73">
        <v>0.40899999999999997</v>
      </c>
      <c r="F15" s="73">
        <f>R16</f>
        <v>0.4775752786986619</v>
      </c>
      <c r="M15" s="8"/>
      <c r="Q15" s="8">
        <f>O16*E15</f>
        <v>23810.752999999997</v>
      </c>
      <c r="R15" s="35">
        <v>27803</v>
      </c>
    </row>
    <row r="16" spans="1:23" x14ac:dyDescent="0.25">
      <c r="A16" s="70"/>
      <c r="B16" s="70"/>
      <c r="C16" s="70" t="s">
        <v>87</v>
      </c>
      <c r="D16" s="70"/>
      <c r="E16" s="73">
        <f>E17-E15</f>
        <v>0.37000000000000005</v>
      </c>
      <c r="F16" s="73">
        <f>W26</f>
        <v>0.83403473212291945</v>
      </c>
      <c r="I16" s="8">
        <f>'2021'!I11</f>
        <v>58217</v>
      </c>
      <c r="K16" s="8">
        <f>E16*I16</f>
        <v>21540.290000000005</v>
      </c>
      <c r="L16" s="15">
        <f>K16/M16</f>
        <v>0.25338536642747916</v>
      </c>
      <c r="M16" s="8">
        <v>85010</v>
      </c>
      <c r="O16" s="8">
        <f>I16</f>
        <v>58217</v>
      </c>
      <c r="Q16" s="8">
        <f>O16*F16</f>
        <v>48555</v>
      </c>
      <c r="R16" s="15">
        <f>R15/V25</f>
        <v>0.4775752786986619</v>
      </c>
      <c r="S16" t="s">
        <v>201</v>
      </c>
      <c r="V16" s="35">
        <f>'2021'!I9</f>
        <v>1278103</v>
      </c>
    </row>
    <row r="17" spans="1:23" x14ac:dyDescent="0.25">
      <c r="A17" s="70"/>
      <c r="B17" s="70"/>
      <c r="C17" s="70" t="s">
        <v>88</v>
      </c>
      <c r="D17" s="70"/>
      <c r="E17" s="73">
        <v>0.77900000000000003</v>
      </c>
      <c r="F17" s="73">
        <f>F15+F16</f>
        <v>1.3116100108215814</v>
      </c>
      <c r="M17" s="8"/>
      <c r="Q17" s="38">
        <f>Q15+Q16</f>
        <v>72365.752999999997</v>
      </c>
    </row>
    <row r="18" spans="1:23" x14ac:dyDescent="0.25">
      <c r="A18" s="70"/>
      <c r="B18" s="70"/>
      <c r="C18" s="70"/>
      <c r="D18" s="70"/>
      <c r="E18" s="73"/>
      <c r="F18" s="70"/>
      <c r="M18" s="8"/>
      <c r="S18" t="s">
        <v>197</v>
      </c>
      <c r="V18" s="35">
        <f>182370</f>
        <v>182370</v>
      </c>
      <c r="W18" s="15">
        <f>V18/V16</f>
        <v>0.14268803062038035</v>
      </c>
    </row>
    <row r="19" spans="1:23" x14ac:dyDescent="0.25">
      <c r="A19" s="70" t="s">
        <v>84</v>
      </c>
      <c r="B19" s="70"/>
      <c r="C19" s="70" t="s">
        <v>86</v>
      </c>
      <c r="D19" s="70"/>
      <c r="E19" s="75">
        <v>0.34499999999999997</v>
      </c>
      <c r="F19" s="73">
        <f>R20</f>
        <v>0.82869048344159679</v>
      </c>
      <c r="M19" s="8"/>
      <c r="Q19" s="8">
        <f>O20*E19</f>
        <v>96290.534999999989</v>
      </c>
      <c r="R19" s="68">
        <v>231290</v>
      </c>
    </row>
    <row r="20" spans="1:23" x14ac:dyDescent="0.25">
      <c r="A20" s="70"/>
      <c r="B20" s="70"/>
      <c r="C20" s="70" t="s">
        <v>87</v>
      </c>
      <c r="D20" s="70"/>
      <c r="E20" s="73">
        <f>E21-E19</f>
        <v>3.400000000000003E-2</v>
      </c>
      <c r="F20" s="73">
        <f>W30</f>
        <v>0.20415402199188112</v>
      </c>
      <c r="I20" s="8">
        <f>'2021'!I12</f>
        <v>279103</v>
      </c>
      <c r="K20" s="8">
        <f>E20*I20</f>
        <v>9489.5020000000077</v>
      </c>
      <c r="L20" s="15">
        <f>K20/M20</f>
        <v>0.3577838856841235</v>
      </c>
      <c r="M20" s="8">
        <v>26523</v>
      </c>
      <c r="O20" s="8">
        <f>'2021'!I12</f>
        <v>279103</v>
      </c>
      <c r="Q20" s="8">
        <f>O20*F20</f>
        <v>56980</v>
      </c>
      <c r="R20" s="24">
        <f>R19/V29</f>
        <v>0.82869048344159679</v>
      </c>
      <c r="S20" s="2" t="s">
        <v>202</v>
      </c>
    </row>
    <row r="21" spans="1:23" x14ac:dyDescent="0.25">
      <c r="A21" s="70"/>
      <c r="B21" s="70"/>
      <c r="C21" s="70" t="s">
        <v>88</v>
      </c>
      <c r="D21" s="70"/>
      <c r="E21" s="73">
        <v>0.379</v>
      </c>
      <c r="F21" s="73">
        <f>F19+F20</f>
        <v>1.0328445054334778</v>
      </c>
      <c r="M21" s="8"/>
      <c r="Q21" s="38">
        <f>Q19+Q20</f>
        <v>153270.53499999997</v>
      </c>
      <c r="S21" t="s">
        <v>203</v>
      </c>
      <c r="V21" s="35">
        <f>'2021'!I10</f>
        <v>283747</v>
      </c>
    </row>
    <row r="22" spans="1:23" x14ac:dyDescent="0.25">
      <c r="M22" s="8"/>
      <c r="S22" t="s">
        <v>197</v>
      </c>
      <c r="V22" s="35">
        <v>59690</v>
      </c>
      <c r="W22" s="15">
        <f>V22/V21</f>
        <v>0.21036345758721678</v>
      </c>
    </row>
    <row r="23" spans="1:23" x14ac:dyDescent="0.25">
      <c r="A23" t="s">
        <v>85</v>
      </c>
      <c r="C23" t="s">
        <v>86</v>
      </c>
      <c r="E23" s="15">
        <v>0.24399999999999999</v>
      </c>
      <c r="M23" s="8"/>
      <c r="Q23" s="8">
        <f>O24*E23</f>
        <v>758484.73600000003</v>
      </c>
    </row>
    <row r="24" spans="1:23" x14ac:dyDescent="0.25">
      <c r="C24" t="s">
        <v>87</v>
      </c>
      <c r="E24" s="15">
        <f>E25-E23</f>
        <v>0.10299999999999998</v>
      </c>
      <c r="I24" s="8">
        <f>'2021'!I18+'2021'!I19</f>
        <v>3108544</v>
      </c>
      <c r="K24" s="8">
        <f>E24*I24</f>
        <v>320180.03199999995</v>
      </c>
      <c r="L24" s="15">
        <f>K24/M24</f>
        <v>0.22876799963417699</v>
      </c>
      <c r="M24" s="8">
        <f>364205+136471+898908</f>
        <v>1399584</v>
      </c>
      <c r="O24" s="8">
        <f>'2021'!I18+'2021'!I19</f>
        <v>3108544</v>
      </c>
      <c r="Q24" s="8">
        <f>O24*E24</f>
        <v>320180.03199999995</v>
      </c>
      <c r="S24" s="2" t="s">
        <v>83</v>
      </c>
    </row>
    <row r="25" spans="1:23" x14ac:dyDescent="0.25">
      <c r="C25" t="s">
        <v>88</v>
      </c>
      <c r="E25" s="15">
        <v>0.34699999999999998</v>
      </c>
      <c r="M25" s="8"/>
      <c r="O25" s="35"/>
      <c r="Q25" s="38">
        <f>Q23+Q24</f>
        <v>1078664.7679999999</v>
      </c>
      <c r="S25" t="s">
        <v>203</v>
      </c>
      <c r="V25" s="35">
        <f>'2021'!I11</f>
        <v>58217</v>
      </c>
    </row>
    <row r="26" spans="1:23" x14ac:dyDescent="0.25">
      <c r="K26" s="8">
        <f>SUM(K4:K24)</f>
        <v>719067.83327061683</v>
      </c>
      <c r="M26" s="8">
        <f>SUM(M4:M24)</f>
        <v>3165483</v>
      </c>
      <c r="S26" t="s">
        <v>197</v>
      </c>
      <c r="V26" s="35">
        <f>48555</f>
        <v>48555</v>
      </c>
      <c r="W26" s="15">
        <f>V26/V25</f>
        <v>0.83403473212291945</v>
      </c>
    </row>
    <row r="27" spans="1:23" x14ac:dyDescent="0.25">
      <c r="K27" s="15">
        <f>K26/M26</f>
        <v>0.22715896224071233</v>
      </c>
    </row>
    <row r="28" spans="1:23" x14ac:dyDescent="0.25">
      <c r="S28" s="2" t="s">
        <v>84</v>
      </c>
    </row>
    <row r="29" spans="1:23" x14ac:dyDescent="0.25">
      <c r="A29" t="s">
        <v>93</v>
      </c>
      <c r="C29" t="s">
        <v>86</v>
      </c>
      <c r="E29" s="15">
        <v>0.40400000000000003</v>
      </c>
      <c r="Q29" s="8">
        <f>O30*E29</f>
        <v>63948.352000000006</v>
      </c>
      <c r="S29" t="s">
        <v>203</v>
      </c>
      <c r="V29" s="35">
        <f>'2021'!I12</f>
        <v>279103</v>
      </c>
    </row>
    <row r="30" spans="1:23" x14ac:dyDescent="0.25">
      <c r="C30" t="s">
        <v>87</v>
      </c>
      <c r="E30" s="15">
        <v>0.30299999999999999</v>
      </c>
      <c r="F30" s="7">
        <f>E30*1.2</f>
        <v>0.36359999999999998</v>
      </c>
      <c r="G30" t="s">
        <v>214</v>
      </c>
      <c r="I30" s="76">
        <f>O30</f>
        <v>158288</v>
      </c>
      <c r="O30" s="8">
        <f>'2021'!I20-110000</f>
        <v>158288</v>
      </c>
      <c r="Q30" s="35">
        <f>O30*F30</f>
        <v>57553.516799999998</v>
      </c>
      <c r="S30" t="s">
        <v>197</v>
      </c>
      <c r="V30" s="35">
        <v>56980</v>
      </c>
      <c r="W30" s="15">
        <f>V30/V29</f>
        <v>0.20415402199188112</v>
      </c>
    </row>
    <row r="31" spans="1:23" x14ac:dyDescent="0.25">
      <c r="C31" t="s">
        <v>88</v>
      </c>
      <c r="E31" s="15">
        <f>E29+E30</f>
        <v>0.70700000000000007</v>
      </c>
      <c r="F31" s="15">
        <f>E29+F30</f>
        <v>0.76760000000000006</v>
      </c>
      <c r="O31" s="35"/>
      <c r="Q31" s="38">
        <f>Q29+Q30</f>
        <v>121501.8688</v>
      </c>
    </row>
    <row r="33" spans="1:18" x14ac:dyDescent="0.25">
      <c r="C33" t="s">
        <v>217</v>
      </c>
      <c r="E33" s="15">
        <f>E24</f>
        <v>0.10299999999999998</v>
      </c>
      <c r="K33" s="8"/>
      <c r="L33" s="15"/>
      <c r="M33" s="8"/>
    </row>
    <row r="34" spans="1:18" x14ac:dyDescent="0.25">
      <c r="E34" s="15">
        <f>F30</f>
        <v>0.36359999999999998</v>
      </c>
      <c r="I34" t="s">
        <v>94</v>
      </c>
      <c r="K34" s="8"/>
      <c r="L34" s="15"/>
      <c r="M34" s="8"/>
      <c r="P34" t="s">
        <v>100</v>
      </c>
      <c r="Q34" s="8">
        <v>0</v>
      </c>
    </row>
    <row r="35" spans="1:18" x14ac:dyDescent="0.25">
      <c r="I35" t="s">
        <v>95</v>
      </c>
      <c r="K35" s="35"/>
      <c r="M35" s="8"/>
      <c r="P35" t="s">
        <v>205</v>
      </c>
      <c r="Q35" s="8">
        <f>(222252+56446)*0.125</f>
        <v>34837.25</v>
      </c>
      <c r="R35" s="42"/>
    </row>
    <row r="36" spans="1:18" x14ac:dyDescent="0.25">
      <c r="R36" s="42"/>
    </row>
    <row r="37" spans="1:18" x14ac:dyDescent="0.25">
      <c r="R37" s="67"/>
    </row>
    <row r="38" spans="1:18" x14ac:dyDescent="0.25">
      <c r="R38" s="67"/>
    </row>
    <row r="39" spans="1:18" x14ac:dyDescent="0.25">
      <c r="A39" s="1"/>
      <c r="B39" s="1"/>
      <c r="C39" s="1"/>
      <c r="D39" s="1"/>
      <c r="E39" s="18"/>
      <c r="F39" s="1"/>
      <c r="G39" s="1"/>
      <c r="H39" s="1"/>
      <c r="I39" s="1"/>
      <c r="J39" s="1"/>
      <c r="K39" s="17"/>
      <c r="L39" s="18"/>
      <c r="M39" s="17"/>
      <c r="N39" s="1"/>
      <c r="O39" s="1" t="s">
        <v>101</v>
      </c>
      <c r="Q39" s="8">
        <f>Q4+Q8+Q12+Q20+Q35</f>
        <v>1005270.25</v>
      </c>
      <c r="R39" s="42"/>
    </row>
    <row r="40" spans="1:18" x14ac:dyDescent="0.25">
      <c r="A40" s="1"/>
      <c r="B40" s="1"/>
      <c r="C40" s="1" t="s">
        <v>108</v>
      </c>
      <c r="D40" s="1"/>
      <c r="E40" s="18" t="s">
        <v>104</v>
      </c>
      <c r="F40" s="1" t="s">
        <v>105</v>
      </c>
      <c r="G40" s="1" t="s">
        <v>106</v>
      </c>
      <c r="H40" s="1"/>
      <c r="I40" s="1"/>
      <c r="J40" s="1"/>
      <c r="K40" s="17"/>
      <c r="L40" s="1"/>
      <c r="M40" s="1"/>
      <c r="N40" s="1"/>
      <c r="O40" s="1" t="s">
        <v>102</v>
      </c>
      <c r="Q40" s="8">
        <f>Q24+Q30</f>
        <v>377733.54879999993</v>
      </c>
      <c r="R40" s="42"/>
    </row>
    <row r="41" spans="1:18" x14ac:dyDescent="0.25">
      <c r="A41" s="26"/>
      <c r="B41" s="1"/>
      <c r="C41" s="17"/>
      <c r="D41" s="1"/>
      <c r="E41" s="18"/>
      <c r="F41" s="1"/>
      <c r="G41" s="1"/>
      <c r="H41" s="1"/>
      <c r="I41" s="1"/>
      <c r="J41" s="1"/>
      <c r="K41" s="17"/>
      <c r="L41" s="1"/>
      <c r="M41" s="17"/>
      <c r="N41" s="1"/>
      <c r="O41" s="1"/>
    </row>
    <row r="42" spans="1:18" x14ac:dyDescent="0.25">
      <c r="A42" s="26" t="s">
        <v>103</v>
      </c>
      <c r="B42" s="1"/>
      <c r="C42" s="17">
        <v>43000</v>
      </c>
      <c r="D42" s="1"/>
      <c r="E42" s="43">
        <v>128000</v>
      </c>
      <c r="F42" s="43">
        <f>11000+8000</f>
        <v>19000</v>
      </c>
      <c r="G42" s="43">
        <f>(C42*7)*0.75</f>
        <v>225750</v>
      </c>
      <c r="H42" s="1"/>
      <c r="I42" s="43">
        <f>SUM(E42:G42)</f>
        <v>372750</v>
      </c>
      <c r="J42" s="1"/>
      <c r="K42" s="1"/>
      <c r="L42" s="1"/>
      <c r="M42" s="17"/>
      <c r="N42" s="1"/>
      <c r="O42" s="1" t="s">
        <v>206</v>
      </c>
      <c r="Q42" s="8">
        <v>25000</v>
      </c>
    </row>
    <row r="43" spans="1:18" x14ac:dyDescent="0.25">
      <c r="A43" s="26" t="s">
        <v>107</v>
      </c>
      <c r="B43" s="1"/>
      <c r="C43" s="17">
        <v>41000</v>
      </c>
      <c r="D43" s="1"/>
      <c r="E43" s="43">
        <v>101000</v>
      </c>
      <c r="F43" s="43">
        <f>18000*2</f>
        <v>36000</v>
      </c>
      <c r="G43" s="43">
        <f>C43*7*0.8</f>
        <v>229600</v>
      </c>
      <c r="H43" s="1"/>
      <c r="I43" s="43">
        <f>SUM(E43:G43)</f>
        <v>366600</v>
      </c>
      <c r="J43" s="1"/>
      <c r="K43" s="1"/>
      <c r="L43" s="1"/>
      <c r="M43" s="1"/>
      <c r="N43" s="1"/>
      <c r="O43" s="1" t="s">
        <v>207</v>
      </c>
      <c r="Q43" s="8">
        <f>8280*18</f>
        <v>149040</v>
      </c>
    </row>
    <row r="44" spans="1:18" x14ac:dyDescent="0.25">
      <c r="A44" s="26"/>
      <c r="B44" s="1"/>
      <c r="C44" s="42"/>
      <c r="D44" s="1"/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8" x14ac:dyDescent="0.25">
      <c r="A45" s="26"/>
      <c r="B45" s="1"/>
      <c r="C45" s="1"/>
      <c r="D45" s="1"/>
      <c r="E45" s="18"/>
      <c r="F45" s="1"/>
      <c r="G45" s="1"/>
      <c r="H45" s="1"/>
      <c r="I45" s="1"/>
      <c r="J45" s="1"/>
      <c r="K45" s="1"/>
      <c r="L45" s="1"/>
      <c r="M45" s="1"/>
      <c r="N45" s="1"/>
      <c r="O45" s="1" t="s">
        <v>208</v>
      </c>
      <c r="Q45" s="8">
        <f>C59*3+(C59/2*3)</f>
        <v>84150</v>
      </c>
    </row>
    <row r="46" spans="1:18" x14ac:dyDescent="0.25">
      <c r="A46" s="2" t="s">
        <v>111</v>
      </c>
      <c r="C46" t="s">
        <v>117</v>
      </c>
      <c r="O46" s="1" t="s">
        <v>209</v>
      </c>
    </row>
    <row r="47" spans="1:18" x14ac:dyDescent="0.25">
      <c r="B47" t="s">
        <v>112</v>
      </c>
      <c r="C47" s="8">
        <v>81000</v>
      </c>
    </row>
    <row r="48" spans="1:18" x14ac:dyDescent="0.25">
      <c r="B48" t="s">
        <v>113</v>
      </c>
      <c r="C48" s="8">
        <v>52000</v>
      </c>
    </row>
    <row r="49" spans="1:11" x14ac:dyDescent="0.25">
      <c r="A49" t="s">
        <v>114</v>
      </c>
      <c r="C49" s="38">
        <f>C47+C48</f>
        <v>133000</v>
      </c>
    </row>
    <row r="52" spans="1:11" x14ac:dyDescent="0.25">
      <c r="B52" t="s">
        <v>115</v>
      </c>
      <c r="C52">
        <v>184</v>
      </c>
    </row>
    <row r="53" spans="1:11" x14ac:dyDescent="0.25">
      <c r="B53" t="s">
        <v>116</v>
      </c>
      <c r="C53">
        <f>66</f>
        <v>66</v>
      </c>
    </row>
    <row r="54" spans="1:11" x14ac:dyDescent="0.25">
      <c r="C54" s="44">
        <f>C52+C53</f>
        <v>250</v>
      </c>
    </row>
    <row r="56" spans="1:11" x14ac:dyDescent="0.25">
      <c r="A56" t="s">
        <v>118</v>
      </c>
      <c r="C56" s="8">
        <f>C49/C54</f>
        <v>532</v>
      </c>
    </row>
    <row r="57" spans="1:11" x14ac:dyDescent="0.25">
      <c r="B57" s="15">
        <v>0.33329999999999999</v>
      </c>
      <c r="C57" s="45">
        <f>C54*B57</f>
        <v>83.325000000000003</v>
      </c>
    </row>
    <row r="58" spans="1:11" x14ac:dyDescent="0.25">
      <c r="B58">
        <v>6</v>
      </c>
      <c r="C58" s="27">
        <f>C56*C57*B58</f>
        <v>265973.40000000002</v>
      </c>
    </row>
    <row r="59" spans="1:11" x14ac:dyDescent="0.25">
      <c r="B59" t="s">
        <v>186</v>
      </c>
      <c r="C59">
        <v>18700</v>
      </c>
      <c r="D59" t="s">
        <v>187</v>
      </c>
    </row>
    <row r="60" spans="1:11" x14ac:dyDescent="0.25">
      <c r="B60" t="s">
        <v>188</v>
      </c>
      <c r="C60">
        <f>C59*4</f>
        <v>74800</v>
      </c>
    </row>
    <row r="61" spans="1:11" x14ac:dyDescent="0.25">
      <c r="E61" s="15" t="s">
        <v>124</v>
      </c>
      <c r="F61" t="s">
        <v>120</v>
      </c>
      <c r="G61" t="s">
        <v>121</v>
      </c>
      <c r="H61" t="s">
        <v>122</v>
      </c>
    </row>
    <row r="63" spans="1:11" x14ac:dyDescent="0.25">
      <c r="A63" t="s">
        <v>119</v>
      </c>
      <c r="E63" s="8">
        <f>(102000+51000)/2</f>
        <v>76500</v>
      </c>
      <c r="F63" s="8">
        <f>102000+51000</f>
        <v>153000</v>
      </c>
      <c r="G63" s="8">
        <f>F63/2*3</f>
        <v>229500</v>
      </c>
      <c r="H63" s="8">
        <f>E63/2*2.5</f>
        <v>95625</v>
      </c>
      <c r="I63" s="8"/>
      <c r="J63" s="8"/>
      <c r="K63" s="8"/>
    </row>
    <row r="64" spans="1:11" x14ac:dyDescent="0.25">
      <c r="E64" s="8"/>
      <c r="F64" s="8"/>
      <c r="G64" s="8"/>
      <c r="H64" s="8"/>
      <c r="I64" s="8"/>
      <c r="J64" s="8"/>
      <c r="K64" s="8"/>
    </row>
    <row r="65" spans="1:11" x14ac:dyDescent="0.25">
      <c r="E65" s="8"/>
      <c r="F65" s="8"/>
      <c r="G65" s="8"/>
      <c r="H65" s="8"/>
      <c r="I65" s="8"/>
      <c r="J65" s="8"/>
      <c r="K65" s="8"/>
    </row>
    <row r="66" spans="1:11" x14ac:dyDescent="0.25">
      <c r="A66" t="s">
        <v>123</v>
      </c>
      <c r="E66" s="8"/>
      <c r="F66" s="8"/>
      <c r="G66" s="8"/>
      <c r="H66" s="8">
        <f>200000*0.33</f>
        <v>66000</v>
      </c>
      <c r="I66" s="8"/>
      <c r="J66" s="8"/>
      <c r="K66" s="8"/>
    </row>
    <row r="67" spans="1:11" x14ac:dyDescent="0.25">
      <c r="E67" s="8"/>
      <c r="F67" s="8"/>
      <c r="G67" s="8"/>
      <c r="H67" s="8"/>
      <c r="I67" s="8"/>
      <c r="J67" s="8"/>
      <c r="K67" s="8"/>
    </row>
    <row r="68" spans="1:11" x14ac:dyDescent="0.25">
      <c r="E68" s="8"/>
      <c r="F68" s="8"/>
      <c r="G68" s="8"/>
      <c r="H68" s="16">
        <f>SUM(E63:H66)</f>
        <v>620625</v>
      </c>
      <c r="I68" s="8"/>
      <c r="J68" s="8"/>
      <c r="K68" s="8"/>
    </row>
    <row r="69" spans="1:11" x14ac:dyDescent="0.25">
      <c r="E69" s="8"/>
      <c r="F69" s="8"/>
      <c r="G69" s="8"/>
      <c r="H69" s="8"/>
      <c r="I69" s="8"/>
      <c r="J69" s="8"/>
      <c r="K69" s="8"/>
    </row>
    <row r="70" spans="1:11" x14ac:dyDescent="0.25">
      <c r="E70" s="8" t="s">
        <v>126</v>
      </c>
      <c r="F70" s="8" t="s">
        <v>105</v>
      </c>
      <c r="G70" s="8" t="s">
        <v>127</v>
      </c>
      <c r="H70" s="8"/>
      <c r="I70" s="8"/>
      <c r="J70" s="8"/>
      <c r="K70" s="8"/>
    </row>
    <row r="71" spans="1:11" x14ac:dyDescent="0.25">
      <c r="E71" s="8"/>
      <c r="F71" s="8"/>
      <c r="G71" s="8"/>
      <c r="H71" s="8"/>
      <c r="I71" s="8"/>
      <c r="J71" s="8"/>
      <c r="K71" s="8"/>
    </row>
    <row r="72" spans="1:11" x14ac:dyDescent="0.25">
      <c r="D72" t="s">
        <v>128</v>
      </c>
      <c r="E72" s="8"/>
      <c r="F72" s="15">
        <v>0.49</v>
      </c>
      <c r="G72" s="15">
        <v>0.25</v>
      </c>
      <c r="H72" s="8"/>
      <c r="I72" s="8"/>
      <c r="J72" s="8"/>
      <c r="K72" s="8"/>
    </row>
    <row r="73" spans="1:11" x14ac:dyDescent="0.25">
      <c r="A73" t="s">
        <v>125</v>
      </c>
      <c r="C73" s="21">
        <v>3162521</v>
      </c>
      <c r="E73" s="8">
        <v>591678</v>
      </c>
      <c r="F73" s="8">
        <f>(C73/12*2)-(C73/12*2*F72)</f>
        <v>268814.28500000003</v>
      </c>
      <c r="G73" s="8">
        <f>(C73/12*7)-(C73/12*7*G72)</f>
        <v>1383602.9375</v>
      </c>
      <c r="H73" s="8">
        <f>SUM(E73:G73)</f>
        <v>2244095.2225000001</v>
      </c>
      <c r="I73" s="8"/>
      <c r="J73" s="8"/>
      <c r="K73" s="8"/>
    </row>
    <row r="74" spans="1:11" x14ac:dyDescent="0.25">
      <c r="E74" s="8"/>
      <c r="F74" s="8"/>
      <c r="G74" s="8"/>
      <c r="H74" s="8">
        <f>-(30000-7000)*5</f>
        <v>-115000</v>
      </c>
      <c r="I74" s="8" t="s">
        <v>210</v>
      </c>
      <c r="J74" s="8"/>
      <c r="K74" s="8"/>
    </row>
    <row r="75" spans="1:11" x14ac:dyDescent="0.25">
      <c r="E75" s="8"/>
      <c r="F75" s="8"/>
      <c r="G75" s="8"/>
      <c r="H75" s="8"/>
      <c r="I75" s="8"/>
      <c r="J75" s="8"/>
      <c r="K75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topLeftCell="A20" zoomScaleNormal="100" workbookViewId="0">
      <selection activeCell="I32" sqref="I32"/>
    </sheetView>
  </sheetViews>
  <sheetFormatPr defaultRowHeight="15" x14ac:dyDescent="0.25"/>
  <cols>
    <col min="6" max="6" width="14.28515625" bestFit="1" customWidth="1"/>
    <col min="8" max="8" width="13.140625" bestFit="1" customWidth="1"/>
    <col min="9" max="11" width="9" bestFit="1" customWidth="1"/>
    <col min="13" max="13" width="18.28515625" customWidth="1"/>
    <col min="14" max="14" width="13.7109375" bestFit="1" customWidth="1"/>
    <col min="15" max="15" width="12.7109375" customWidth="1"/>
    <col min="16" max="16" width="12" customWidth="1"/>
    <col min="17" max="17" width="10.7109375" customWidth="1"/>
    <col min="18" max="18" width="12" customWidth="1"/>
    <col min="19" max="20" width="12.140625" customWidth="1"/>
  </cols>
  <sheetData>
    <row r="3" spans="1:20" x14ac:dyDescent="0.25">
      <c r="A3" t="s">
        <v>165</v>
      </c>
      <c r="F3" s="15">
        <f>COOCOSCOL!E5</f>
        <v>6.5000000000000002E-2</v>
      </c>
      <c r="H3" s="21">
        <f>F18*F3</f>
        <v>1359020.585</v>
      </c>
    </row>
    <row r="5" spans="1:20" x14ac:dyDescent="0.25">
      <c r="A5" t="s">
        <v>166</v>
      </c>
      <c r="F5" s="15">
        <f>COOCOSCOL!E9</f>
        <v>0.53900000000000003</v>
      </c>
      <c r="H5" s="21">
        <f>F20*F5</f>
        <v>3055986.0870000003</v>
      </c>
    </row>
    <row r="7" spans="1:20" x14ac:dyDescent="0.25">
      <c r="A7" t="s">
        <v>168</v>
      </c>
      <c r="F7" s="15">
        <f>COOCOSCOL!E13</f>
        <v>0.38800000000000001</v>
      </c>
      <c r="H7" s="21">
        <f>F22*F7</f>
        <v>397870.72000000003</v>
      </c>
    </row>
    <row r="9" spans="1:20" x14ac:dyDescent="0.25">
      <c r="A9" t="s">
        <v>169</v>
      </c>
      <c r="F9" s="15">
        <f>COOCOSCOL!E17</f>
        <v>0.77900000000000003</v>
      </c>
      <c r="H9" s="21">
        <f>F24*F9</f>
        <v>178799.97500000001</v>
      </c>
    </row>
    <row r="11" spans="1:20" x14ac:dyDescent="0.25">
      <c r="A11" t="s">
        <v>170</v>
      </c>
      <c r="F11" s="15">
        <f>COOCOSCOL!E21</f>
        <v>0.379</v>
      </c>
      <c r="H11" s="21">
        <f>F26*F11</f>
        <v>298273.37900000002</v>
      </c>
    </row>
    <row r="12" spans="1:20" ht="15.75" thickBot="1" x14ac:dyDescent="0.3">
      <c r="H12" s="62">
        <f>SUM(H3:H11)</f>
        <v>5289950.7459999993</v>
      </c>
      <c r="I12" s="15">
        <f>H12/F28</f>
        <v>0.18483594402849951</v>
      </c>
      <c r="J12" s="15"/>
      <c r="K12" s="15"/>
      <c r="L12" s="15"/>
    </row>
    <row r="13" spans="1:20" ht="15.75" thickTop="1" x14ac:dyDescent="0.25"/>
    <row r="14" spans="1:20" x14ac:dyDescent="0.25">
      <c r="N14" s="47" t="s">
        <v>144</v>
      </c>
      <c r="O14" s="47" t="s">
        <v>145</v>
      </c>
      <c r="P14" s="47" t="s">
        <v>135</v>
      </c>
      <c r="Q14" s="47" t="s">
        <v>136</v>
      </c>
      <c r="R14" s="47" t="s">
        <v>172</v>
      </c>
      <c r="S14" s="47" t="s">
        <v>173</v>
      </c>
      <c r="T14" s="47" t="s">
        <v>174</v>
      </c>
    </row>
    <row r="15" spans="1:20" x14ac:dyDescent="0.25">
      <c r="H15" s="34" t="s">
        <v>180</v>
      </c>
      <c r="I15" s="34"/>
      <c r="J15" s="34"/>
      <c r="K15" s="34" t="s">
        <v>181</v>
      </c>
    </row>
    <row r="16" spans="1:20" x14ac:dyDescent="0.25">
      <c r="A16" t="s">
        <v>81</v>
      </c>
      <c r="D16" t="s">
        <v>163</v>
      </c>
      <c r="F16" s="60">
        <v>767122</v>
      </c>
      <c r="H16" s="34" t="s">
        <v>171</v>
      </c>
      <c r="I16" s="34"/>
      <c r="J16" s="34"/>
      <c r="K16" s="34" t="s">
        <v>182</v>
      </c>
      <c r="N16" s="8">
        <f>Sheet2!G8</f>
        <v>-1963070.39</v>
      </c>
      <c r="O16" s="8">
        <f>Sheet2!H8</f>
        <v>-1163956.8999999999</v>
      </c>
      <c r="P16" s="8">
        <f>Sheet2!I8</f>
        <v>-1177779.4000000001</v>
      </c>
      <c r="Q16" s="8">
        <f>Sheet2!J8</f>
        <v>-1199464.0999999999</v>
      </c>
      <c r="R16" s="8">
        <f>Sheet2!K8</f>
        <v>-1593472.5</v>
      </c>
      <c r="S16" s="8">
        <f>Sheet2!L8</f>
        <v>-1172415.1000000001</v>
      </c>
      <c r="T16" s="8">
        <f>Sheet2!M8</f>
        <v>-1579299.7</v>
      </c>
    </row>
    <row r="18" spans="1:20" x14ac:dyDescent="0.25">
      <c r="D18" t="s">
        <v>164</v>
      </c>
      <c r="F18" s="21">
        <v>20908009</v>
      </c>
      <c r="H18" s="45">
        <f>F18/F16</f>
        <v>27.255128910394955</v>
      </c>
      <c r="I18" s="15">
        <f>-F3</f>
        <v>-6.5000000000000002E-2</v>
      </c>
      <c r="J18" s="63">
        <f>H18*I18</f>
        <v>-1.7715833791756721</v>
      </c>
      <c r="K18" s="63">
        <f>H18+J18</f>
        <v>25.483545531219281</v>
      </c>
      <c r="L18" s="63"/>
      <c r="N18" s="61">
        <f>-N16/$K$18</f>
        <v>77032.859795552751</v>
      </c>
      <c r="O18" s="61">
        <f t="shared" ref="O18:T18" si="0">-O16/$K$18</f>
        <v>45674.841382415339</v>
      </c>
      <c r="P18" s="61">
        <f t="shared" si="0"/>
        <v>46217.250207869656</v>
      </c>
      <c r="Q18" s="61">
        <f t="shared" si="0"/>
        <v>47068.179682084075</v>
      </c>
      <c r="R18" s="61">
        <f t="shared" si="0"/>
        <v>62529.466241181981</v>
      </c>
      <c r="S18" s="61">
        <f t="shared" si="0"/>
        <v>46006.749671614671</v>
      </c>
      <c r="T18" s="61">
        <f t="shared" si="0"/>
        <v>61973.311290818529</v>
      </c>
    </row>
    <row r="19" spans="1:20" x14ac:dyDescent="0.25">
      <c r="F19" s="21"/>
      <c r="H19" s="45"/>
      <c r="J19" s="63"/>
      <c r="K19" s="63"/>
      <c r="L19" s="63"/>
      <c r="N19" s="61"/>
      <c r="O19" s="61"/>
      <c r="P19" s="61"/>
      <c r="Q19" s="61"/>
      <c r="R19" s="61"/>
      <c r="S19" s="61"/>
      <c r="T19" s="61"/>
    </row>
    <row r="20" spans="1:20" x14ac:dyDescent="0.25">
      <c r="A20" t="s">
        <v>167</v>
      </c>
      <c r="F20" s="21">
        <f>816047+4853686</f>
        <v>5669733</v>
      </c>
      <c r="H20" s="45">
        <f>F20/F16</f>
        <v>7.3909143526062344</v>
      </c>
      <c r="I20" s="15">
        <f>-F5</f>
        <v>-0.53900000000000003</v>
      </c>
      <c r="J20" s="63">
        <f>H20*I20</f>
        <v>-3.9837028360547606</v>
      </c>
      <c r="K20" s="63">
        <f>H20+J20</f>
        <v>3.4072115165514738</v>
      </c>
      <c r="L20" s="63"/>
      <c r="N20" s="61">
        <f>-N16/$K$20</f>
        <v>576151.60680921678</v>
      </c>
      <c r="O20" s="61">
        <f t="shared" ref="O20:T20" si="1">-O16/$K$20</f>
        <v>341615.68612507818</v>
      </c>
      <c r="P20" s="61">
        <f t="shared" si="1"/>
        <v>345672.52261229174</v>
      </c>
      <c r="Q20" s="61">
        <f t="shared" si="1"/>
        <v>352036.87654061709</v>
      </c>
      <c r="R20" s="61">
        <f t="shared" si="1"/>
        <v>467676.42462443729</v>
      </c>
      <c r="S20" s="61">
        <f t="shared" si="1"/>
        <v>344098.12666594633</v>
      </c>
      <c r="T20" s="61">
        <f t="shared" si="1"/>
        <v>463516.77679184696</v>
      </c>
    </row>
    <row r="21" spans="1:20" x14ac:dyDescent="0.25">
      <c r="F21" s="21"/>
      <c r="H21" s="45"/>
      <c r="J21" s="63"/>
      <c r="K21" s="63"/>
      <c r="L21" s="63"/>
      <c r="N21" s="61"/>
      <c r="O21" s="61"/>
      <c r="P21" s="61"/>
      <c r="Q21" s="61"/>
      <c r="R21" s="61"/>
      <c r="S21" s="61"/>
      <c r="T21" s="61"/>
    </row>
    <row r="22" spans="1:20" x14ac:dyDescent="0.25">
      <c r="A22" t="s">
        <v>35</v>
      </c>
      <c r="F22" s="21">
        <v>1025440</v>
      </c>
      <c r="H22" s="45">
        <f>F22/F16</f>
        <v>1.3367365295220317</v>
      </c>
      <c r="I22" s="15">
        <f>-F7</f>
        <v>-0.38800000000000001</v>
      </c>
      <c r="J22" s="63">
        <f>H22*I22</f>
        <v>-0.51865377345454833</v>
      </c>
      <c r="K22" s="63">
        <f>H22+J22</f>
        <v>0.81808275606748337</v>
      </c>
      <c r="L22" s="63"/>
      <c r="N22" s="61">
        <f>-N16/$K$22</f>
        <v>2399598.7880693907</v>
      </c>
      <c r="O22" s="61">
        <f t="shared" ref="O22:T22" si="2">-O16/$K$22</f>
        <v>1422786.2540400319</v>
      </c>
      <c r="P22" s="61">
        <f t="shared" si="2"/>
        <v>1439682.4664311167</v>
      </c>
      <c r="Q22" s="61">
        <f t="shared" si="2"/>
        <v>1466189.1979801815</v>
      </c>
      <c r="R22" s="61">
        <f t="shared" si="2"/>
        <v>1947813.3332864859</v>
      </c>
      <c r="S22" s="61">
        <f t="shared" si="2"/>
        <v>1433125.3058502164</v>
      </c>
      <c r="T22" s="61">
        <f t="shared" si="2"/>
        <v>1930488.9246066983</v>
      </c>
    </row>
    <row r="23" spans="1:20" x14ac:dyDescent="0.25">
      <c r="F23" s="21"/>
      <c r="H23" s="45"/>
      <c r="J23" s="63"/>
      <c r="K23" s="63"/>
      <c r="L23" s="63"/>
      <c r="N23" s="61"/>
      <c r="O23" s="61"/>
      <c r="P23" s="61"/>
      <c r="Q23" s="61"/>
      <c r="R23" s="61"/>
      <c r="S23" s="61"/>
      <c r="T23" s="61"/>
    </row>
    <row r="24" spans="1:20" x14ac:dyDescent="0.25">
      <c r="A24" t="s">
        <v>83</v>
      </c>
      <c r="F24" s="21">
        <v>229525</v>
      </c>
      <c r="H24" s="45">
        <f>F24/F16</f>
        <v>0.29920273437601841</v>
      </c>
      <c r="I24" s="15">
        <f>-F9</f>
        <v>-0.77900000000000003</v>
      </c>
      <c r="J24" s="63">
        <f>H24*I24</f>
        <v>-0.23307893007891836</v>
      </c>
      <c r="K24" s="63">
        <f>H24+J24</f>
        <v>6.6123804297100047E-2</v>
      </c>
      <c r="L24" s="63"/>
      <c r="N24" s="61">
        <f>-N16/$K$24</f>
        <v>29687801.705717847</v>
      </c>
      <c r="O24" s="61">
        <f t="shared" ref="O24:T24" si="3">-O16/$K$24</f>
        <v>17602691.078847181</v>
      </c>
      <c r="P24" s="61">
        <f t="shared" si="3"/>
        <v>17811730.77562407</v>
      </c>
      <c r="Q24" s="61">
        <f t="shared" si="3"/>
        <v>18139671.677248068</v>
      </c>
      <c r="R24" s="61">
        <f t="shared" si="3"/>
        <v>24098318.554697614</v>
      </c>
      <c r="S24" s="61">
        <f t="shared" si="3"/>
        <v>17730605.679192871</v>
      </c>
      <c r="T24" s="61">
        <f t="shared" si="3"/>
        <v>23883981.219593294</v>
      </c>
    </row>
    <row r="25" spans="1:20" x14ac:dyDescent="0.25">
      <c r="F25" s="21"/>
      <c r="H25" s="45"/>
      <c r="J25" s="63"/>
      <c r="K25" s="63"/>
      <c r="L25" s="63"/>
      <c r="N25" s="61"/>
      <c r="O25" s="61"/>
      <c r="P25" s="61"/>
      <c r="Q25" s="61"/>
      <c r="R25" s="61"/>
      <c r="S25" s="61"/>
      <c r="T25" s="61"/>
    </row>
    <row r="26" spans="1:20" x14ac:dyDescent="0.25">
      <c r="A26" t="s">
        <v>84</v>
      </c>
      <c r="F26" s="21">
        <v>787001</v>
      </c>
      <c r="H26" s="45">
        <f>F26/F16</f>
        <v>1.0259137399266349</v>
      </c>
      <c r="I26" s="15">
        <f>-F11</f>
        <v>-0.379</v>
      </c>
      <c r="J26" s="63">
        <f>H26*I26</f>
        <v>-0.38882130743219462</v>
      </c>
      <c r="K26" s="63">
        <f>H26+J26</f>
        <v>0.63709243249444025</v>
      </c>
      <c r="L26" s="63"/>
      <c r="N26" s="61">
        <f>-N16/$K$26</f>
        <v>3081296.0410059984</v>
      </c>
      <c r="O26" s="61">
        <f t="shared" ref="O26:T26" si="4">-O16/$K$26</f>
        <v>1826982.7746072898</v>
      </c>
      <c r="P26" s="61">
        <f t="shared" si="4"/>
        <v>1848678.9984124922</v>
      </c>
      <c r="Q26" s="61">
        <f t="shared" si="4"/>
        <v>1882715.9746721168</v>
      </c>
      <c r="R26" s="61">
        <f t="shared" si="4"/>
        <v>2501163.7538386644</v>
      </c>
      <c r="S26" s="61">
        <f t="shared" si="4"/>
        <v>1840259.0271078623</v>
      </c>
      <c r="T26" s="61">
        <f t="shared" si="4"/>
        <v>2478917.6883117068</v>
      </c>
    </row>
    <row r="27" spans="1:20" x14ac:dyDescent="0.25">
      <c r="J27" s="63"/>
      <c r="K27" s="63"/>
      <c r="L27" s="63"/>
      <c r="N27" s="61"/>
      <c r="O27" s="61"/>
      <c r="P27" s="61"/>
      <c r="Q27" s="61"/>
      <c r="R27" s="61"/>
      <c r="S27" s="61"/>
      <c r="T27" s="61"/>
    </row>
    <row r="28" spans="1:20" ht="15.75" thickBot="1" x14ac:dyDescent="0.3">
      <c r="F28" s="62">
        <f>SUM(F18:F26)</f>
        <v>28619708</v>
      </c>
      <c r="H28" s="45">
        <f>SUM(H18:H26)</f>
        <v>37.307896266825871</v>
      </c>
      <c r="I28" s="15">
        <f>-I12</f>
        <v>-0.18483594402849951</v>
      </c>
      <c r="J28" s="63">
        <f>H28*I28</f>
        <v>-6.8958402261960927</v>
      </c>
      <c r="K28" s="63">
        <f>H28+J28</f>
        <v>30.412056040629778</v>
      </c>
      <c r="L28" s="63"/>
      <c r="M28" s="2" t="s">
        <v>176</v>
      </c>
      <c r="N28" s="61">
        <f>-N16/$K$28</f>
        <v>64549.084987130926</v>
      </c>
      <c r="O28" s="61">
        <f>-O16/$K$28</f>
        <v>38272.877652368566</v>
      </c>
      <c r="P28" s="61">
        <f t="shared" ref="P28:T28" si="5">-P16/$K$28</f>
        <v>38727.384903753795</v>
      </c>
      <c r="Q28" s="61">
        <f t="shared" si="5"/>
        <v>39440.414630222454</v>
      </c>
      <c r="R28" s="61">
        <f t="shared" si="5"/>
        <v>52396.079300628633</v>
      </c>
      <c r="S28" s="61">
        <f t="shared" si="5"/>
        <v>38550.997618631292</v>
      </c>
      <c r="T28" s="61">
        <f t="shared" si="5"/>
        <v>51930.053590921096</v>
      </c>
    </row>
    <row r="29" spans="1:20" ht="15.75" thickTop="1" x14ac:dyDescent="0.25">
      <c r="F29" s="21"/>
      <c r="M29" s="2" t="s">
        <v>177</v>
      </c>
      <c r="N29" s="61">
        <v>65897</v>
      </c>
      <c r="O29" s="61">
        <v>83451</v>
      </c>
      <c r="P29" s="61">
        <v>69519</v>
      </c>
      <c r="Q29" s="61">
        <v>71257</v>
      </c>
      <c r="R29" s="61">
        <v>86232</v>
      </c>
      <c r="S29" s="61">
        <v>54125</v>
      </c>
      <c r="T29" s="61">
        <v>43516</v>
      </c>
    </row>
    <row r="30" spans="1:20" x14ac:dyDescent="0.25">
      <c r="N30" s="15">
        <f>N28/N29</f>
        <v>0.97954512325494214</v>
      </c>
      <c r="O30" s="15">
        <f t="shared" ref="O30:T30" si="6">O28/O29</f>
        <v>0.45862695057421199</v>
      </c>
      <c r="P30" s="15">
        <f t="shared" si="6"/>
        <v>0.55707626553537581</v>
      </c>
      <c r="Q30" s="15">
        <f t="shared" si="6"/>
        <v>0.5534953005349994</v>
      </c>
      <c r="R30" s="15">
        <f t="shared" si="6"/>
        <v>0.60761758164751634</v>
      </c>
      <c r="S30" s="15">
        <f t="shared" si="6"/>
        <v>0.71225861651050881</v>
      </c>
      <c r="T30" s="15">
        <f t="shared" si="6"/>
        <v>1.1933554001038951</v>
      </c>
    </row>
    <row r="32" spans="1:20" x14ac:dyDescent="0.25">
      <c r="M32" s="2" t="s">
        <v>183</v>
      </c>
      <c r="N32" s="2"/>
      <c r="O32" s="2"/>
      <c r="P32" s="2"/>
    </row>
    <row r="33" spans="1:20" x14ac:dyDescent="0.25">
      <c r="M33" s="21">
        <f>(26100+30315+32700+36949)/4</f>
        <v>31516</v>
      </c>
      <c r="N33" s="21">
        <f>M33*4</f>
        <v>126064</v>
      </c>
      <c r="O33" s="21">
        <f t="shared" ref="O33:T33" si="7">N33</f>
        <v>126064</v>
      </c>
      <c r="P33" s="21">
        <f t="shared" si="7"/>
        <v>126064</v>
      </c>
      <c r="Q33" s="21">
        <f t="shared" si="7"/>
        <v>126064</v>
      </c>
      <c r="R33" s="21">
        <f t="shared" si="7"/>
        <v>126064</v>
      </c>
      <c r="S33" s="21">
        <f t="shared" si="7"/>
        <v>126064</v>
      </c>
      <c r="T33" s="21">
        <f t="shared" si="7"/>
        <v>126064</v>
      </c>
    </row>
    <row r="34" spans="1:20" x14ac:dyDescent="0.25">
      <c r="N34" s="60">
        <f>N33/K28</f>
        <v>4145.1982013837378</v>
      </c>
      <c r="O34" s="60">
        <f>N34</f>
        <v>4145.1982013837378</v>
      </c>
      <c r="P34" s="60">
        <f t="shared" ref="P34:T34" si="8">O34</f>
        <v>4145.1982013837378</v>
      </c>
      <c r="Q34" s="60">
        <f t="shared" si="8"/>
        <v>4145.1982013837378</v>
      </c>
      <c r="R34" s="60">
        <f t="shared" si="8"/>
        <v>4145.1982013837378</v>
      </c>
      <c r="S34" s="60">
        <f t="shared" si="8"/>
        <v>4145.1982013837378</v>
      </c>
      <c r="T34" s="60">
        <f t="shared" si="8"/>
        <v>4145.1982013837378</v>
      </c>
    </row>
    <row r="37" spans="1:20" x14ac:dyDescent="0.25">
      <c r="A37" s="2" t="s">
        <v>175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20" x14ac:dyDescent="0.25">
      <c r="A38" s="2" t="s">
        <v>178</v>
      </c>
    </row>
    <row r="39" spans="1:20" x14ac:dyDescent="0.25">
      <c r="A39" s="2" t="s">
        <v>179</v>
      </c>
    </row>
  </sheetData>
  <pageMargins left="0.7" right="0.7" top="0.75" bottom="0.75" header="0.3" footer="0.3"/>
  <pageSetup paperSize="5" scale="72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zoomScaleNormal="100" workbookViewId="0">
      <selection activeCell="G23" sqref="G23"/>
    </sheetView>
  </sheetViews>
  <sheetFormatPr defaultRowHeight="15" x14ac:dyDescent="0.25"/>
  <cols>
    <col min="6" max="6" width="14.85546875" bestFit="1" customWidth="1"/>
    <col min="8" max="8" width="13.140625" bestFit="1" customWidth="1"/>
    <col min="9" max="11" width="9" bestFit="1" customWidth="1"/>
    <col min="13" max="13" width="18.28515625" customWidth="1"/>
    <col min="14" max="14" width="13.7109375" bestFit="1" customWidth="1"/>
    <col min="15" max="15" width="12.7109375" customWidth="1"/>
    <col min="16" max="16" width="12" customWidth="1"/>
    <col min="17" max="17" width="10.7109375" customWidth="1"/>
    <col min="18" max="18" width="12" customWidth="1"/>
    <col min="19" max="20" width="12.140625" customWidth="1"/>
  </cols>
  <sheetData>
    <row r="3" spans="1:20" x14ac:dyDescent="0.25">
      <c r="A3" t="s">
        <v>165</v>
      </c>
      <c r="F3" s="15">
        <f>COOCOSCOL!E5</f>
        <v>6.5000000000000002E-2</v>
      </c>
      <c r="H3" s="21">
        <f>F13*F3</f>
        <v>1359020.585</v>
      </c>
    </row>
    <row r="5" spans="1:20" x14ac:dyDescent="0.25">
      <c r="A5" t="s">
        <v>166</v>
      </c>
      <c r="F5" s="15">
        <f>COOCOSCOL!E9</f>
        <v>0.53900000000000003</v>
      </c>
      <c r="H5" s="21">
        <f>F15*F5</f>
        <v>3055986.0870000003</v>
      </c>
    </row>
    <row r="7" spans="1:20" ht="15.75" thickBot="1" x14ac:dyDescent="0.3">
      <c r="H7" s="62">
        <f>SUM(H3:H6)</f>
        <v>4415006.6720000003</v>
      </c>
      <c r="I7" s="15">
        <f>H7/F18</f>
        <v>0.16611669539120366</v>
      </c>
      <c r="J7" s="15"/>
      <c r="K7" s="15"/>
      <c r="L7" s="15"/>
    </row>
    <row r="8" spans="1:20" ht="15.75" thickTop="1" x14ac:dyDescent="0.25"/>
    <row r="9" spans="1:20" x14ac:dyDescent="0.25">
      <c r="N9" s="47" t="s">
        <v>144</v>
      </c>
      <c r="O9" s="47" t="s">
        <v>145</v>
      </c>
      <c r="P9" s="47" t="s">
        <v>135</v>
      </c>
      <c r="Q9" s="47" t="s">
        <v>136</v>
      </c>
      <c r="R9" s="47" t="s">
        <v>172</v>
      </c>
      <c r="S9" s="47" t="s">
        <v>173</v>
      </c>
      <c r="T9" s="47" t="s">
        <v>174</v>
      </c>
    </row>
    <row r="10" spans="1:20" x14ac:dyDescent="0.25">
      <c r="H10" s="34" t="s">
        <v>180</v>
      </c>
      <c r="I10" s="34"/>
      <c r="J10" s="34"/>
      <c r="K10" s="34" t="s">
        <v>181</v>
      </c>
    </row>
    <row r="11" spans="1:20" x14ac:dyDescent="0.25">
      <c r="A11" t="s">
        <v>81</v>
      </c>
      <c r="D11" t="s">
        <v>163</v>
      </c>
      <c r="F11" s="60">
        <v>767122</v>
      </c>
      <c r="H11" s="34" t="s">
        <v>171</v>
      </c>
      <c r="I11" s="34"/>
      <c r="J11" s="34"/>
      <c r="K11" s="34" t="s">
        <v>182</v>
      </c>
      <c r="N11" s="8">
        <f>Sheet2!G8</f>
        <v>-1963070.39</v>
      </c>
      <c r="O11" s="8">
        <f>Sheet2!H8</f>
        <v>-1163956.8999999999</v>
      </c>
      <c r="P11" s="8">
        <f>Sheet2!I8</f>
        <v>-1177779.4000000001</v>
      </c>
      <c r="Q11" s="8">
        <f>Sheet2!J8</f>
        <v>-1199464.0999999999</v>
      </c>
      <c r="R11" s="8">
        <f>Sheet2!K8</f>
        <v>-1593472.5</v>
      </c>
      <c r="S11" s="8">
        <f>Sheet2!L8</f>
        <v>-1172415.1000000001</v>
      </c>
      <c r="T11" s="8">
        <f>Sheet2!M8</f>
        <v>-1579299.7</v>
      </c>
    </row>
    <row r="13" spans="1:20" x14ac:dyDescent="0.25">
      <c r="D13" t="s">
        <v>164</v>
      </c>
      <c r="F13" s="21">
        <v>20908009</v>
      </c>
      <c r="H13" s="45">
        <f>F13/F11</f>
        <v>27.255128910394955</v>
      </c>
      <c r="I13" s="15">
        <f>-F3</f>
        <v>-6.5000000000000002E-2</v>
      </c>
      <c r="J13" s="63">
        <f>H13*I13</f>
        <v>-1.7715833791756721</v>
      </c>
      <c r="K13" s="63">
        <f>H13+J13</f>
        <v>25.483545531219281</v>
      </c>
      <c r="L13" s="63"/>
      <c r="N13" s="61">
        <f>-N11/$K$13</f>
        <v>77032.859795552751</v>
      </c>
      <c r="O13" s="61">
        <f t="shared" ref="O13:T13" si="0">-O11/$K$13</f>
        <v>45674.841382415339</v>
      </c>
      <c r="P13" s="61">
        <f t="shared" si="0"/>
        <v>46217.250207869656</v>
      </c>
      <c r="Q13" s="61">
        <f t="shared" si="0"/>
        <v>47068.179682084075</v>
      </c>
      <c r="R13" s="61">
        <f t="shared" si="0"/>
        <v>62529.466241181981</v>
      </c>
      <c r="S13" s="61">
        <f t="shared" si="0"/>
        <v>46006.749671614671</v>
      </c>
      <c r="T13" s="61">
        <f t="shared" si="0"/>
        <v>61973.311290818529</v>
      </c>
    </row>
    <row r="14" spans="1:20" x14ac:dyDescent="0.25">
      <c r="F14" s="21"/>
      <c r="H14" s="45"/>
      <c r="J14" s="63"/>
      <c r="K14" s="63"/>
      <c r="L14" s="63"/>
      <c r="N14" s="61"/>
      <c r="O14" s="61"/>
      <c r="P14" s="61"/>
      <c r="Q14" s="61"/>
      <c r="R14" s="61"/>
      <c r="S14" s="61"/>
      <c r="T14" s="61"/>
    </row>
    <row r="15" spans="1:20" x14ac:dyDescent="0.25">
      <c r="A15" t="s">
        <v>167</v>
      </c>
      <c r="F15" s="21">
        <f>816047+4853686</f>
        <v>5669733</v>
      </c>
      <c r="H15" s="45">
        <f>F15/F11</f>
        <v>7.3909143526062344</v>
      </c>
      <c r="I15" s="15">
        <f>-F5</f>
        <v>-0.53900000000000003</v>
      </c>
      <c r="J15" s="63">
        <f>H15*I15</f>
        <v>-3.9837028360547606</v>
      </c>
      <c r="K15" s="63">
        <f>H15+J15</f>
        <v>3.4072115165514738</v>
      </c>
      <c r="L15" s="63"/>
      <c r="N15" s="61">
        <f>-N11/$K$15</f>
        <v>576151.60680921678</v>
      </c>
      <c r="O15" s="61">
        <f t="shared" ref="O15:T15" si="1">-O11/$K$15</f>
        <v>341615.68612507818</v>
      </c>
      <c r="P15" s="61">
        <f t="shared" si="1"/>
        <v>345672.52261229174</v>
      </c>
      <c r="Q15" s="61">
        <f t="shared" si="1"/>
        <v>352036.87654061709</v>
      </c>
      <c r="R15" s="61">
        <f t="shared" si="1"/>
        <v>467676.42462443729</v>
      </c>
      <c r="S15" s="61">
        <f t="shared" si="1"/>
        <v>344098.12666594633</v>
      </c>
      <c r="T15" s="61">
        <f t="shared" si="1"/>
        <v>463516.77679184696</v>
      </c>
    </row>
    <row r="16" spans="1:20" x14ac:dyDescent="0.25">
      <c r="F16" s="21"/>
      <c r="H16" s="45"/>
      <c r="J16" s="63"/>
      <c r="K16" s="63"/>
      <c r="L16" s="63"/>
      <c r="N16" s="61"/>
      <c r="O16" s="61"/>
      <c r="P16" s="61"/>
      <c r="Q16" s="61"/>
      <c r="R16" s="61"/>
      <c r="S16" s="61"/>
      <c r="T16" s="61"/>
    </row>
    <row r="17" spans="1:20" x14ac:dyDescent="0.25">
      <c r="J17" s="63"/>
      <c r="K17" s="63"/>
      <c r="L17" s="63"/>
      <c r="N17" s="61"/>
      <c r="O17" s="61"/>
      <c r="P17" s="61"/>
      <c r="Q17" s="61"/>
      <c r="R17" s="61"/>
      <c r="S17" s="61"/>
      <c r="T17" s="61"/>
    </row>
    <row r="18" spans="1:20" ht="15.75" thickBot="1" x14ac:dyDescent="0.3">
      <c r="F18" s="62">
        <f>SUM(F13:F16)</f>
        <v>26577742</v>
      </c>
      <c r="H18" s="45">
        <f>SUM(H13:H16)</f>
        <v>34.646043263001189</v>
      </c>
      <c r="I18" s="15">
        <f>-I7</f>
        <v>-0.16611669539120366</v>
      </c>
      <c r="J18" s="63">
        <f>H18*I18</f>
        <v>-5.7552862152304325</v>
      </c>
      <c r="K18" s="63">
        <f>H18+J18</f>
        <v>28.890757047770755</v>
      </c>
      <c r="L18" s="63"/>
      <c r="M18" s="2" t="s">
        <v>176</v>
      </c>
      <c r="N18" s="61">
        <f t="shared" ref="N18:T18" si="2">-N11/$K$18</f>
        <v>67948.042578256791</v>
      </c>
      <c r="O18" s="61">
        <f t="shared" si="2"/>
        <v>40288.210449985847</v>
      </c>
      <c r="P18" s="61">
        <f t="shared" si="2"/>
        <v>40766.65066452037</v>
      </c>
      <c r="Q18" s="61">
        <f t="shared" si="2"/>
        <v>41517.226357782543</v>
      </c>
      <c r="R18" s="61">
        <f t="shared" si="2"/>
        <v>55155.096744789327</v>
      </c>
      <c r="S18" s="61">
        <f t="shared" si="2"/>
        <v>40580.975363899823</v>
      </c>
      <c r="T18" s="61">
        <f t="shared" si="2"/>
        <v>54664.531545110913</v>
      </c>
    </row>
    <row r="19" spans="1:20" ht="15.75" thickTop="1" x14ac:dyDescent="0.25">
      <c r="F19" s="21"/>
      <c r="M19" s="2" t="s">
        <v>177</v>
      </c>
      <c r="N19" s="61">
        <v>65897</v>
      </c>
      <c r="O19" s="61">
        <v>83451</v>
      </c>
      <c r="P19" s="61">
        <v>69519</v>
      </c>
      <c r="Q19" s="61">
        <v>71257</v>
      </c>
      <c r="R19" s="61">
        <v>86232</v>
      </c>
      <c r="S19" s="61">
        <v>54125</v>
      </c>
      <c r="T19" s="61">
        <v>43516</v>
      </c>
    </row>
    <row r="20" spans="1:20" x14ac:dyDescent="0.25">
      <c r="N20" s="15">
        <f>N18/N19</f>
        <v>1.0311249765278661</v>
      </c>
      <c r="O20" s="15">
        <f t="shared" ref="O20:T20" si="3">O18/O19</f>
        <v>0.48277684449540265</v>
      </c>
      <c r="P20" s="15">
        <f t="shared" si="3"/>
        <v>0.58641019957882545</v>
      </c>
      <c r="Q20" s="15">
        <f t="shared" si="3"/>
        <v>0.58264067190286628</v>
      </c>
      <c r="R20" s="15">
        <f t="shared" si="3"/>
        <v>0.63961286697269371</v>
      </c>
      <c r="S20" s="15">
        <f t="shared" si="3"/>
        <v>0.74976397900969649</v>
      </c>
      <c r="T20" s="15">
        <f t="shared" si="3"/>
        <v>1.2561938492763791</v>
      </c>
    </row>
    <row r="22" spans="1:20" x14ac:dyDescent="0.25">
      <c r="M22" s="2" t="s">
        <v>183</v>
      </c>
      <c r="N22" s="2"/>
      <c r="O22" s="2"/>
      <c r="P22" s="2"/>
    </row>
    <row r="23" spans="1:20" x14ac:dyDescent="0.25">
      <c r="M23" s="21">
        <f>(26100+30315+32700+36949-1520-1520-1780-1780)/4</f>
        <v>29866</v>
      </c>
      <c r="N23" s="21">
        <f>M23*4</f>
        <v>119464</v>
      </c>
      <c r="O23" s="21">
        <f t="shared" ref="O23:T23" si="4">N23</f>
        <v>119464</v>
      </c>
      <c r="P23" s="21">
        <f t="shared" si="4"/>
        <v>119464</v>
      </c>
      <c r="Q23" s="21">
        <f t="shared" si="4"/>
        <v>119464</v>
      </c>
      <c r="R23" s="21">
        <f t="shared" si="4"/>
        <v>119464</v>
      </c>
      <c r="S23" s="21">
        <f t="shared" si="4"/>
        <v>119464</v>
      </c>
      <c r="T23" s="21">
        <f t="shared" si="4"/>
        <v>119464</v>
      </c>
    </row>
    <row r="24" spans="1:20" x14ac:dyDescent="0.25">
      <c r="N24" s="60">
        <f>N23/K18</f>
        <v>4135.0249078785555</v>
      </c>
      <c r="O24" s="60">
        <f>N24</f>
        <v>4135.0249078785555</v>
      </c>
      <c r="P24" s="60">
        <f t="shared" ref="P24:T24" si="5">O24</f>
        <v>4135.0249078785555</v>
      </c>
      <c r="Q24" s="60">
        <f t="shared" si="5"/>
        <v>4135.0249078785555</v>
      </c>
      <c r="R24" s="60">
        <f t="shared" si="5"/>
        <v>4135.0249078785555</v>
      </c>
      <c r="S24" s="60">
        <f t="shared" si="5"/>
        <v>4135.0249078785555</v>
      </c>
      <c r="T24" s="60">
        <f t="shared" si="5"/>
        <v>4135.0249078785555</v>
      </c>
    </row>
    <row r="27" spans="1:20" x14ac:dyDescent="0.25">
      <c r="A27" s="2" t="s">
        <v>175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0" x14ac:dyDescent="0.25">
      <c r="A28" s="2" t="s">
        <v>178</v>
      </c>
    </row>
    <row r="29" spans="1:20" x14ac:dyDescent="0.25">
      <c r="A29" s="2" t="s">
        <v>179</v>
      </c>
    </row>
    <row r="30" spans="1:20" x14ac:dyDescent="0.25">
      <c r="N30" s="8"/>
      <c r="O30" s="8"/>
    </row>
    <row r="31" spans="1:20" x14ac:dyDescent="0.25">
      <c r="M31" t="s">
        <v>184</v>
      </c>
      <c r="N31" s="8">
        <f>N18*H13</f>
        <v>1851932.659679394</v>
      </c>
      <c r="O31" s="8">
        <f>N18*H15</f>
        <v>502198.16312313767</v>
      </c>
    </row>
    <row r="32" spans="1:20" x14ac:dyDescent="0.25">
      <c r="M32" t="s">
        <v>185</v>
      </c>
      <c r="N32" s="8">
        <f>N31*I13</f>
        <v>-120375.62287916061</v>
      </c>
      <c r="O32" s="8">
        <f>O31*I15</f>
        <v>-270684.80992337124</v>
      </c>
    </row>
    <row r="33" spans="14:15" x14ac:dyDescent="0.25">
      <c r="N33" s="8"/>
      <c r="O33" s="8"/>
    </row>
    <row r="34" spans="14:15" x14ac:dyDescent="0.25">
      <c r="N34" s="8">
        <f>N31+N32</f>
        <v>1731557.0368002334</v>
      </c>
      <c r="O34" s="8">
        <f>O31+O32</f>
        <v>231513.35319976642</v>
      </c>
    </row>
    <row r="35" spans="14:15" x14ac:dyDescent="0.25">
      <c r="N35" s="8"/>
      <c r="O35" s="8">
        <f>N34+O34</f>
        <v>1963070.39</v>
      </c>
    </row>
    <row r="36" spans="14:15" x14ac:dyDescent="0.25">
      <c r="N36" s="8"/>
      <c r="O36" s="8"/>
    </row>
    <row r="37" spans="14:15" x14ac:dyDescent="0.25">
      <c r="N37" s="8"/>
      <c r="O37" s="8"/>
    </row>
    <row r="38" spans="14:15" x14ac:dyDescent="0.25">
      <c r="N38" s="8"/>
      <c r="O38" s="8"/>
    </row>
    <row r="39" spans="14:15" x14ac:dyDescent="0.25">
      <c r="N39" s="8"/>
      <c r="O39" s="8"/>
    </row>
  </sheetData>
  <pageMargins left="0.7" right="0.7" top="0.75" bottom="0.75" header="0.3" footer="0.3"/>
  <pageSetup paperSize="5" scale="72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2021</vt:lpstr>
      <vt:lpstr>Sheet2</vt:lpstr>
      <vt:lpstr>Sheet1</vt:lpstr>
      <vt:lpstr>COOCOSCOL</vt:lpstr>
      <vt:lpstr>break even</vt:lpstr>
      <vt:lpstr>break even just basic retail</vt:lpstr>
      <vt:lpstr>'2021'!Print_Area</vt:lpstr>
      <vt:lpstr>Sheet2!Print_Area</vt:lpstr>
      <vt:lpstr>'2021'!Print_Titles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2020-12-18T16:40:43Z</dcterms:modified>
</cp:coreProperties>
</file>