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6000" firstSheet="2" activeTab="2"/>
  </bookViews>
  <sheets>
    <sheet name="sign events" sheetId="3" state="hidden" r:id="rId1"/>
    <sheet name="EST 2020" sheetId="13" state="hidden" r:id="rId2"/>
    <sheet name="Forecast 22_23_24" sheetId="14" r:id="rId3"/>
    <sheet name="REV Bud Best 2020" sheetId="7" state="hidden" r:id="rId4"/>
    <sheet name="REV Bud Worst 2020" sheetId="9" state="hidden" r:id="rId5"/>
    <sheet name="Oper Adm" sheetId="10" state="hidden" r:id="rId6"/>
    <sheet name="ACT 2018" sheetId="4" state="hidden" r:id="rId7"/>
    <sheet name="Bud 2019" sheetId="6" state="hidden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3">'REV Bud Best 2020'!$A$1:$X$90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4" l="1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Q81" i="14"/>
  <c r="P28" i="14"/>
  <c r="P49" i="14"/>
  <c r="Q85" i="14"/>
  <c r="P27" i="14"/>
  <c r="P48" i="14"/>
  <c r="Z69" i="14"/>
  <c r="Z56" i="14"/>
  <c r="Z52" i="14"/>
  <c r="Z33" i="14"/>
  <c r="Z15" i="14"/>
  <c r="Z7" i="14"/>
  <c r="W69" i="14"/>
  <c r="W56" i="14"/>
  <c r="W52" i="14"/>
  <c r="W33" i="14"/>
  <c r="W15" i="14"/>
  <c r="W7" i="14"/>
  <c r="T69" i="14"/>
  <c r="T56" i="14"/>
  <c r="T52" i="14"/>
  <c r="T33" i="14"/>
  <c r="T15" i="14"/>
  <c r="T7" i="14"/>
  <c r="G73" i="14"/>
  <c r="G47" i="14"/>
  <c r="N56" i="14"/>
  <c r="N33" i="14"/>
  <c r="N15" i="14"/>
  <c r="N7" i="14"/>
  <c r="N30" i="14"/>
  <c r="N85" i="14"/>
  <c r="H85" i="14"/>
  <c r="G65" i="14"/>
  <c r="G61" i="14"/>
  <c r="G74" i="14"/>
  <c r="G60" i="14"/>
  <c r="G57" i="14"/>
  <c r="H56" i="14"/>
  <c r="G27" i="14"/>
  <c r="G38" i="14"/>
  <c r="T30" i="14"/>
  <c r="P8" i="14"/>
  <c r="P12" i="14"/>
  <c r="P14" i="14"/>
  <c r="P17" i="14"/>
  <c r="P19" i="14"/>
  <c r="P21" i="14"/>
  <c r="P23" i="14"/>
  <c r="P34" i="14"/>
  <c r="P36" i="14"/>
  <c r="P38" i="14"/>
  <c r="P40" i="14"/>
  <c r="P42" i="14"/>
  <c r="P44" i="14"/>
  <c r="P47" i="14"/>
  <c r="P53" i="14"/>
  <c r="P58" i="14"/>
  <c r="P62" i="14"/>
  <c r="P64" i="14"/>
  <c r="P66" i="14"/>
  <c r="P71" i="14"/>
  <c r="P73" i="14"/>
  <c r="P75" i="14"/>
  <c r="P9" i="14"/>
  <c r="P11" i="14"/>
  <c r="P13" i="14"/>
  <c r="P16" i="14"/>
  <c r="P18" i="14"/>
  <c r="P20" i="14"/>
  <c r="P22" i="14"/>
  <c r="P24" i="14"/>
  <c r="P26" i="14"/>
  <c r="P35" i="14"/>
  <c r="P37" i="14"/>
  <c r="P39" i="14"/>
  <c r="P41" i="14"/>
  <c r="P43" i="14"/>
  <c r="P45" i="14"/>
  <c r="P57" i="14"/>
  <c r="P59" i="14"/>
  <c r="P61" i="14"/>
  <c r="P63" i="14"/>
  <c r="P65" i="14"/>
  <c r="P67" i="14"/>
  <c r="P70" i="14"/>
  <c r="P72" i="14"/>
  <c r="P74" i="14"/>
  <c r="Q83" i="14"/>
  <c r="P10" i="14"/>
  <c r="P25" i="14"/>
  <c r="Z30" i="14"/>
  <c r="W30" i="14"/>
  <c r="T78" i="14"/>
  <c r="T80" i="14"/>
  <c r="T84" i="14"/>
  <c r="T86" i="14"/>
  <c r="Z78" i="14"/>
  <c r="Q5" i="14"/>
  <c r="W78" i="14"/>
  <c r="H33" i="14"/>
  <c r="Z80" i="14"/>
  <c r="Z84" i="14"/>
  <c r="Z86" i="14"/>
  <c r="W80" i="14"/>
  <c r="W84" i="14"/>
  <c r="W86" i="14"/>
  <c r="Q69" i="14"/>
  <c r="P46" i="14"/>
  <c r="P54" i="14"/>
  <c r="Q52" i="14"/>
  <c r="P60" i="14"/>
  <c r="Q56" i="14"/>
  <c r="Q33" i="14"/>
  <c r="Q15" i="14"/>
  <c r="Q7" i="14"/>
  <c r="G12" i="14"/>
  <c r="H7" i="14"/>
  <c r="H5" i="14"/>
  <c r="Q30" i="14"/>
  <c r="Q78" i="14"/>
  <c r="Q80" i="14"/>
  <c r="Q84" i="14"/>
  <c r="Q86" i="14"/>
  <c r="M73" i="14"/>
  <c r="N69" i="14"/>
  <c r="N52" i="14"/>
  <c r="N78" i="14"/>
  <c r="N80" i="14"/>
  <c r="N84" i="14"/>
  <c r="N86" i="14"/>
  <c r="K85" i="14"/>
  <c r="G28" i="14"/>
  <c r="K69" i="14"/>
  <c r="E69" i="14"/>
  <c r="K56" i="14"/>
  <c r="E56" i="14"/>
  <c r="K52" i="14"/>
  <c r="E52" i="14"/>
  <c r="K33" i="14"/>
  <c r="E33" i="14"/>
  <c r="K15" i="14"/>
  <c r="E15" i="14"/>
  <c r="K7" i="14"/>
  <c r="E7" i="14"/>
  <c r="J85" i="13"/>
  <c r="M85" i="13"/>
  <c r="K84" i="13"/>
  <c r="K30" i="14"/>
  <c r="E78" i="14"/>
  <c r="K78" i="14"/>
  <c r="E30" i="14"/>
  <c r="H84" i="13"/>
  <c r="N84" i="13"/>
  <c r="M86" i="13"/>
  <c r="N82" i="13"/>
  <c r="H83" i="14"/>
  <c r="N81" i="13"/>
  <c r="K80" i="13"/>
  <c r="N80" i="13"/>
  <c r="M74" i="13"/>
  <c r="G73" i="13"/>
  <c r="M73" i="13"/>
  <c r="J72" i="13"/>
  <c r="G72" i="13"/>
  <c r="H68" i="13"/>
  <c r="M71" i="13"/>
  <c r="M70" i="13"/>
  <c r="M69" i="13"/>
  <c r="E68" i="13"/>
  <c r="M65" i="13"/>
  <c r="M64" i="13"/>
  <c r="G63" i="13"/>
  <c r="M63" i="13"/>
  <c r="M62" i="13"/>
  <c r="M61" i="13"/>
  <c r="M60" i="13"/>
  <c r="P60" i="13"/>
  <c r="J59" i="13"/>
  <c r="K54" i="13"/>
  <c r="G59" i="13"/>
  <c r="G58" i="13"/>
  <c r="M58" i="13"/>
  <c r="G57" i="13"/>
  <c r="M57" i="13"/>
  <c r="G56" i="13"/>
  <c r="M56" i="13"/>
  <c r="G55" i="13"/>
  <c r="M55" i="13"/>
  <c r="E54" i="13"/>
  <c r="G51" i="13"/>
  <c r="H49" i="13"/>
  <c r="M50" i="13"/>
  <c r="K49" i="13"/>
  <c r="E49" i="13"/>
  <c r="M48" i="13"/>
  <c r="G47" i="13"/>
  <c r="M47" i="13"/>
  <c r="M46" i="13"/>
  <c r="M45" i="13"/>
  <c r="M44" i="13"/>
  <c r="M43" i="13"/>
  <c r="M42" i="13"/>
  <c r="M41" i="13"/>
  <c r="M40" i="13"/>
  <c r="G39" i="13"/>
  <c r="M39" i="13"/>
  <c r="M38" i="13"/>
  <c r="M37" i="13"/>
  <c r="M36" i="13"/>
  <c r="M35" i="13"/>
  <c r="K34" i="13"/>
  <c r="H34" i="13"/>
  <c r="E34" i="13"/>
  <c r="G28" i="13"/>
  <c r="M28" i="13"/>
  <c r="M27" i="13"/>
  <c r="M26" i="13"/>
  <c r="M25" i="13"/>
  <c r="G24" i="13"/>
  <c r="M24" i="13"/>
  <c r="M23" i="13"/>
  <c r="G22" i="13"/>
  <c r="M21" i="13"/>
  <c r="M20" i="13"/>
  <c r="P20" i="13"/>
  <c r="G19" i="13"/>
  <c r="M19" i="13"/>
  <c r="G17" i="14"/>
  <c r="G18" i="13"/>
  <c r="M18" i="13"/>
  <c r="K17" i="13"/>
  <c r="E17" i="13"/>
  <c r="E7" i="13"/>
  <c r="E31" i="13"/>
  <c r="M15" i="13"/>
  <c r="P15" i="13"/>
  <c r="M14" i="13"/>
  <c r="G13" i="13"/>
  <c r="G12" i="13"/>
  <c r="M12" i="13"/>
  <c r="M11" i="13"/>
  <c r="M10" i="13"/>
  <c r="M9" i="13"/>
  <c r="P9" i="13"/>
  <c r="M8" i="13"/>
  <c r="K7" i="13"/>
  <c r="K5" i="13"/>
  <c r="H5" i="13"/>
  <c r="R2" i="13"/>
  <c r="R3" i="13"/>
  <c r="R4" i="13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A2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P11" i="13"/>
  <c r="P26" i="13"/>
  <c r="P37" i="13"/>
  <c r="P44" i="13"/>
  <c r="P50" i="13"/>
  <c r="P74" i="13"/>
  <c r="P12" i="13"/>
  <c r="P38" i="13"/>
  <c r="P45" i="13"/>
  <c r="P57" i="13"/>
  <c r="P42" i="13"/>
  <c r="P58" i="13"/>
  <c r="P36" i="13"/>
  <c r="P43" i="13"/>
  <c r="P73" i="13"/>
  <c r="P28" i="13"/>
  <c r="P39" i="13"/>
  <c r="P8" i="13"/>
  <c r="P23" i="13"/>
  <c r="P63" i="13"/>
  <c r="P64" i="13"/>
  <c r="Q84" i="13"/>
  <c r="P65" i="13"/>
  <c r="P14" i="13"/>
  <c r="P40" i="13"/>
  <c r="P47" i="13"/>
  <c r="P61" i="13"/>
  <c r="P70" i="13"/>
  <c r="P41" i="13"/>
  <c r="P48" i="13"/>
  <c r="P56" i="13"/>
  <c r="P62" i="13"/>
  <c r="P71" i="13"/>
  <c r="L72" i="14"/>
  <c r="K80" i="14"/>
  <c r="K84" i="14"/>
  <c r="K86" i="14"/>
  <c r="E80" i="14"/>
  <c r="E84" i="14"/>
  <c r="E86" i="14"/>
  <c r="Q80" i="13"/>
  <c r="P21" i="13"/>
  <c r="P27" i="13"/>
  <c r="P10" i="13"/>
  <c r="H17" i="13"/>
  <c r="Q81" i="13"/>
  <c r="N5" i="13"/>
  <c r="P46" i="13"/>
  <c r="E77" i="13"/>
  <c r="E79" i="13"/>
  <c r="E83" i="13"/>
  <c r="E88" i="13"/>
  <c r="M72" i="13"/>
  <c r="P24" i="13"/>
  <c r="P19" i="13"/>
  <c r="H7" i="13"/>
  <c r="H31" i="13"/>
  <c r="P25" i="13"/>
  <c r="P18" i="13"/>
  <c r="M59" i="13"/>
  <c r="M22" i="13"/>
  <c r="P35" i="13"/>
  <c r="Q34" i="13"/>
  <c r="N34" i="13"/>
  <c r="P55" i="13"/>
  <c r="M13" i="13"/>
  <c r="M51" i="13"/>
  <c r="H52" i="14"/>
  <c r="H54" i="13"/>
  <c r="H77" i="13"/>
  <c r="P69" i="13"/>
  <c r="K68" i="13"/>
  <c r="K77" i="13"/>
  <c r="K31" i="13"/>
  <c r="H15" i="14"/>
  <c r="H30" i="14"/>
  <c r="P72" i="13"/>
  <c r="H69" i="14"/>
  <c r="P59" i="13"/>
  <c r="Q54" i="13"/>
  <c r="P13" i="13"/>
  <c r="L71" i="14"/>
  <c r="P22" i="13"/>
  <c r="Q17" i="13"/>
  <c r="Q7" i="13"/>
  <c r="N68" i="13"/>
  <c r="N54" i="13"/>
  <c r="S54" i="13"/>
  <c r="Q68" i="13"/>
  <c r="Q5" i="13"/>
  <c r="K79" i="13"/>
  <c r="K83" i="13"/>
  <c r="K88" i="13"/>
  <c r="S34" i="13"/>
  <c r="T34" i="13"/>
  <c r="N7" i="13"/>
  <c r="N17" i="13"/>
  <c r="H79" i="13"/>
  <c r="H83" i="13"/>
  <c r="H88" i="13"/>
  <c r="N49" i="13"/>
  <c r="P51" i="13"/>
  <c r="Q49" i="13"/>
  <c r="H78" i="14"/>
  <c r="H80" i="14"/>
  <c r="H84" i="14"/>
  <c r="H86" i="14"/>
  <c r="Q31" i="13"/>
  <c r="T54" i="13"/>
  <c r="S49" i="13"/>
  <c r="T49" i="13"/>
  <c r="Q77" i="13"/>
  <c r="N31" i="13"/>
  <c r="N77" i="13"/>
  <c r="S77" i="13"/>
  <c r="Q79" i="13"/>
  <c r="Q83" i="13"/>
  <c r="Q88" i="13"/>
  <c r="T77" i="13"/>
  <c r="N79" i="13"/>
  <c r="S31" i="13"/>
  <c r="T31" i="13"/>
  <c r="U80" i="7"/>
  <c r="N83" i="13"/>
  <c r="N88" i="13"/>
  <c r="S88" i="13"/>
  <c r="T88" i="13"/>
  <c r="S79" i="13"/>
  <c r="T79" i="13"/>
  <c r="N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A2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J25" i="10"/>
  <c r="H25" i="10"/>
  <c r="K25" i="10"/>
  <c r="K24" i="10"/>
  <c r="T67" i="9"/>
  <c r="J14" i="10"/>
  <c r="T66" i="9"/>
  <c r="J13" i="10"/>
  <c r="H10" i="10"/>
  <c r="F16" i="10"/>
  <c r="F15" i="10"/>
  <c r="F14" i="10"/>
  <c r="F13" i="10"/>
  <c r="F12" i="10"/>
  <c r="H23" i="10"/>
  <c r="F11" i="10"/>
  <c r="J22" i="10"/>
  <c r="F10" i="10"/>
  <c r="J16" i="10"/>
  <c r="H16" i="10"/>
  <c r="U77" i="9"/>
  <c r="O74" i="9"/>
  <c r="U74" i="9"/>
  <c r="W17" i="3"/>
  <c r="U80" i="9"/>
  <c r="R78" i="9"/>
  <c r="L77" i="9"/>
  <c r="I77" i="9"/>
  <c r="O75" i="9"/>
  <c r="U75" i="9"/>
  <c r="L74" i="9"/>
  <c r="P71" i="9"/>
  <c r="K69" i="9"/>
  <c r="H69" i="9"/>
  <c r="T68" i="9"/>
  <c r="J15" i="10"/>
  <c r="K68" i="9"/>
  <c r="H68" i="9"/>
  <c r="K67" i="9"/>
  <c r="H67" i="9"/>
  <c r="K66" i="9"/>
  <c r="H66" i="9"/>
  <c r="T65" i="9"/>
  <c r="J12" i="10"/>
  <c r="K65" i="9"/>
  <c r="H65" i="9"/>
  <c r="T64" i="9"/>
  <c r="J11" i="10"/>
  <c r="K64" i="9"/>
  <c r="H64" i="9"/>
  <c r="T63" i="9"/>
  <c r="U62" i="9"/>
  <c r="K63" i="9"/>
  <c r="H63" i="9"/>
  <c r="R62" i="9"/>
  <c r="O62" i="9"/>
  <c r="F62" i="9"/>
  <c r="K61" i="9"/>
  <c r="H61" i="9"/>
  <c r="T60" i="9"/>
  <c r="K60" i="9"/>
  <c r="H60" i="9"/>
  <c r="T59" i="9"/>
  <c r="K59" i="9"/>
  <c r="H59" i="9"/>
  <c r="T58" i="9"/>
  <c r="K58" i="9"/>
  <c r="H58" i="9"/>
  <c r="T57" i="9"/>
  <c r="K57" i="9"/>
  <c r="H57" i="9"/>
  <c r="T56" i="9"/>
  <c r="K56" i="9"/>
  <c r="H56" i="9"/>
  <c r="T55" i="9"/>
  <c r="K55" i="9"/>
  <c r="H55" i="9"/>
  <c r="T54" i="9"/>
  <c r="K54" i="9"/>
  <c r="H54" i="9"/>
  <c r="T53" i="9"/>
  <c r="K53" i="9"/>
  <c r="H53" i="9"/>
  <c r="T52" i="9"/>
  <c r="K52" i="9"/>
  <c r="H52" i="9"/>
  <c r="T51" i="9"/>
  <c r="K51" i="9"/>
  <c r="H51" i="9"/>
  <c r="T50" i="9"/>
  <c r="K50" i="9"/>
  <c r="H50" i="9"/>
  <c r="R49" i="9"/>
  <c r="O49" i="9"/>
  <c r="F49" i="9"/>
  <c r="T46" i="9"/>
  <c r="K46" i="9"/>
  <c r="L44" i="9"/>
  <c r="H46" i="9"/>
  <c r="I44" i="9"/>
  <c r="T45" i="9"/>
  <c r="U44" i="9"/>
  <c r="R44" i="9"/>
  <c r="O44" i="9"/>
  <c r="F44" i="9"/>
  <c r="T42" i="9"/>
  <c r="T41" i="9"/>
  <c r="K41" i="9"/>
  <c r="H41" i="9"/>
  <c r="E41" i="9"/>
  <c r="T40" i="9"/>
  <c r="K40" i="9"/>
  <c r="H40" i="9"/>
  <c r="T39" i="9"/>
  <c r="K39" i="9"/>
  <c r="H39" i="9"/>
  <c r="T38" i="9"/>
  <c r="K38" i="9"/>
  <c r="H38" i="9"/>
  <c r="T37" i="9"/>
  <c r="K37" i="9"/>
  <c r="H37" i="9"/>
  <c r="T36" i="9"/>
  <c r="K36" i="9"/>
  <c r="H36" i="9"/>
  <c r="T35" i="9"/>
  <c r="K35" i="9"/>
  <c r="H35" i="9"/>
  <c r="T34" i="9"/>
  <c r="K34" i="9"/>
  <c r="H34" i="9"/>
  <c r="T33" i="9"/>
  <c r="W14" i="3"/>
  <c r="K33" i="9"/>
  <c r="H33" i="9"/>
  <c r="T32" i="9"/>
  <c r="K32" i="9"/>
  <c r="H32" i="9"/>
  <c r="T31" i="9"/>
  <c r="K31" i="9"/>
  <c r="H31" i="9"/>
  <c r="E31" i="9"/>
  <c r="T30" i="9"/>
  <c r="K30" i="9"/>
  <c r="H30" i="9"/>
  <c r="E30" i="9"/>
  <c r="R29" i="9"/>
  <c r="R71" i="9"/>
  <c r="O29" i="9"/>
  <c r="O71" i="9"/>
  <c r="T25" i="9"/>
  <c r="W19" i="3"/>
  <c r="T24" i="9"/>
  <c r="W16" i="3"/>
  <c r="K24" i="9"/>
  <c r="H24" i="9"/>
  <c r="E24" i="9"/>
  <c r="T23" i="9"/>
  <c r="K23" i="9"/>
  <c r="H23" i="9"/>
  <c r="E23" i="9"/>
  <c r="T22" i="9"/>
  <c r="K22" i="9"/>
  <c r="H22" i="9"/>
  <c r="E22" i="9"/>
  <c r="T21" i="9"/>
  <c r="W18" i="3"/>
  <c r="K21" i="9"/>
  <c r="H21" i="9"/>
  <c r="E21" i="9"/>
  <c r="N20" i="9"/>
  <c r="T20" i="9"/>
  <c r="W13" i="3"/>
  <c r="K20" i="9"/>
  <c r="H20" i="9"/>
  <c r="E20" i="9"/>
  <c r="T19" i="9"/>
  <c r="K19" i="9"/>
  <c r="H19" i="9"/>
  <c r="E19" i="9"/>
  <c r="T18" i="9"/>
  <c r="K18" i="9"/>
  <c r="H18" i="9"/>
  <c r="E18" i="9"/>
  <c r="N17" i="9"/>
  <c r="T17" i="9"/>
  <c r="T14" i="9"/>
  <c r="T15" i="9"/>
  <c r="U12" i="9"/>
  <c r="K17" i="9"/>
  <c r="H17" i="9"/>
  <c r="E17" i="9"/>
  <c r="K16" i="9"/>
  <c r="H16" i="9"/>
  <c r="E16" i="9"/>
  <c r="K15" i="9"/>
  <c r="H15" i="9"/>
  <c r="E15" i="9"/>
  <c r="W12" i="3"/>
  <c r="K14" i="9"/>
  <c r="H14" i="9"/>
  <c r="E14" i="9"/>
  <c r="N13" i="9"/>
  <c r="K13" i="9"/>
  <c r="H13" i="9"/>
  <c r="E13" i="9"/>
  <c r="R12" i="9"/>
  <c r="T10" i="9"/>
  <c r="K10" i="9"/>
  <c r="H10" i="9"/>
  <c r="T9" i="9"/>
  <c r="K9" i="9"/>
  <c r="H9" i="9"/>
  <c r="T8" i="9"/>
  <c r="K8" i="9"/>
  <c r="H8" i="9"/>
  <c r="R7" i="9"/>
  <c r="R26" i="9"/>
  <c r="O7" i="9"/>
  <c r="F7" i="9"/>
  <c r="U5" i="9"/>
  <c r="L5" i="9"/>
  <c r="I5" i="9"/>
  <c r="F5" i="9"/>
  <c r="A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W2" i="9"/>
  <c r="W3" i="9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O20" i="3"/>
  <c r="U17" i="3"/>
  <c r="Q34" i="7"/>
  <c r="Q17" i="7"/>
  <c r="U49" i="9"/>
  <c r="J8" i="10"/>
  <c r="U7" i="9"/>
  <c r="U29" i="9"/>
  <c r="V73" i="9"/>
  <c r="V71" i="9"/>
  <c r="W15" i="3"/>
  <c r="J10" i="10"/>
  <c r="J18" i="10"/>
  <c r="W11" i="3"/>
  <c r="W20" i="3"/>
  <c r="P26" i="9"/>
  <c r="F29" i="9"/>
  <c r="F71" i="9"/>
  <c r="L49" i="9"/>
  <c r="I62" i="9"/>
  <c r="I7" i="9"/>
  <c r="I29" i="9"/>
  <c r="J23" i="10"/>
  <c r="F22" i="10"/>
  <c r="F23" i="10"/>
  <c r="L7" i="9"/>
  <c r="L29" i="9"/>
  <c r="L62" i="9"/>
  <c r="I12" i="9"/>
  <c r="F12" i="9"/>
  <c r="F26" i="9"/>
  <c r="L12" i="9"/>
  <c r="I49" i="9"/>
  <c r="J17" i="10"/>
  <c r="F17" i="10"/>
  <c r="R73" i="9"/>
  <c r="V26" i="9"/>
  <c r="O12" i="9"/>
  <c r="P73" i="9"/>
  <c r="L26" i="9"/>
  <c r="U71" i="9"/>
  <c r="J19" i="10"/>
  <c r="U26" i="9"/>
  <c r="U73" i="9"/>
  <c r="U76" i="9"/>
  <c r="U78" i="9"/>
  <c r="I26" i="9"/>
  <c r="F73" i="9"/>
  <c r="F76" i="9"/>
  <c r="F78" i="9"/>
  <c r="I71" i="9"/>
  <c r="L71" i="9"/>
  <c r="L73" i="9"/>
  <c r="L76" i="9"/>
  <c r="L78" i="9"/>
  <c r="K23" i="10"/>
  <c r="M23" i="10"/>
  <c r="O26" i="9"/>
  <c r="O73" i="9"/>
  <c r="O76" i="9"/>
  <c r="O78" i="9"/>
  <c r="I73" i="9"/>
  <c r="I76" i="9"/>
  <c r="I78" i="9"/>
  <c r="U77" i="7"/>
  <c r="R12" i="7"/>
  <c r="T68" i="7"/>
  <c r="H15" i="10"/>
  <c r="T67" i="7"/>
  <c r="H14" i="10"/>
  <c r="T66" i="7"/>
  <c r="H13" i="10"/>
  <c r="T65" i="7"/>
  <c r="H12" i="10"/>
  <c r="T64" i="7"/>
  <c r="H11" i="10"/>
  <c r="R62" i="7"/>
  <c r="T60" i="7"/>
  <c r="T59" i="7"/>
  <c r="T58" i="7"/>
  <c r="T57" i="7"/>
  <c r="T56" i="7"/>
  <c r="T55" i="7"/>
  <c r="T54" i="7"/>
  <c r="T53" i="7"/>
  <c r="T52" i="7"/>
  <c r="T51" i="7"/>
  <c r="T50" i="7"/>
  <c r="R49" i="7"/>
  <c r="T46" i="7"/>
  <c r="T45" i="7"/>
  <c r="U44" i="7"/>
  <c r="R44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R29" i="7"/>
  <c r="T25" i="7"/>
  <c r="U19" i="3"/>
  <c r="T24" i="7"/>
  <c r="T23" i="7"/>
  <c r="T22" i="7"/>
  <c r="T21" i="7"/>
  <c r="U18" i="3"/>
  <c r="T19" i="7"/>
  <c r="T18" i="7"/>
  <c r="T16" i="7"/>
  <c r="T15" i="7"/>
  <c r="T14" i="7"/>
  <c r="U12" i="3"/>
  <c r="T10" i="7"/>
  <c r="T9" i="7"/>
  <c r="T8" i="7"/>
  <c r="R7" i="7"/>
  <c r="U5" i="7"/>
  <c r="W2" i="7"/>
  <c r="W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H22" i="10"/>
  <c r="H17" i="10"/>
  <c r="U16" i="3"/>
  <c r="U14" i="3"/>
  <c r="U62" i="7"/>
  <c r="U49" i="7"/>
  <c r="H18" i="10"/>
  <c r="R26" i="7"/>
  <c r="U7" i="7"/>
  <c r="R71" i="7"/>
  <c r="V71" i="7"/>
  <c r="U29" i="7"/>
  <c r="R78" i="7"/>
  <c r="H19" i="10"/>
  <c r="H26" i="10"/>
  <c r="K22" i="10"/>
  <c r="H8" i="10"/>
  <c r="U71" i="7"/>
  <c r="R73" i="7"/>
  <c r="O49" i="7"/>
  <c r="K69" i="7"/>
  <c r="K68" i="7"/>
  <c r="K64" i="7"/>
  <c r="K63" i="7"/>
  <c r="K61" i="7"/>
  <c r="K60" i="7"/>
  <c r="K59" i="7"/>
  <c r="K57" i="7"/>
  <c r="K56" i="7"/>
  <c r="K55" i="7"/>
  <c r="K51" i="7"/>
  <c r="H61" i="7"/>
  <c r="K46" i="7"/>
  <c r="K41" i="7"/>
  <c r="K39" i="7"/>
  <c r="K37" i="7"/>
  <c r="K36" i="7"/>
  <c r="K35" i="7"/>
  <c r="K34" i="7"/>
  <c r="K33" i="7"/>
  <c r="K32" i="7"/>
  <c r="K31" i="7"/>
  <c r="K30" i="7"/>
  <c r="K24" i="7"/>
  <c r="K23" i="7"/>
  <c r="K22" i="7"/>
  <c r="K20" i="7"/>
  <c r="K19" i="7"/>
  <c r="K17" i="7"/>
  <c r="K16" i="7"/>
  <c r="K15" i="7"/>
  <c r="K14" i="7"/>
  <c r="K13" i="7"/>
  <c r="K58" i="7"/>
  <c r="K38" i="7"/>
  <c r="K40" i="7"/>
  <c r="K50" i="7"/>
  <c r="K66" i="7"/>
  <c r="K54" i="7"/>
  <c r="K53" i="7"/>
  <c r="K52" i="7"/>
  <c r="L49" i="7"/>
  <c r="K67" i="7"/>
  <c r="K65" i="7"/>
  <c r="K18" i="7"/>
  <c r="K21" i="7"/>
  <c r="L74" i="7"/>
  <c r="K10" i="7"/>
  <c r="K9" i="7"/>
  <c r="K8" i="7"/>
  <c r="L5" i="7"/>
  <c r="L44" i="7"/>
  <c r="L77" i="7"/>
  <c r="L62" i="7"/>
  <c r="L7" i="7"/>
  <c r="L12" i="7"/>
  <c r="L29" i="7"/>
  <c r="L71" i="7"/>
  <c r="L26" i="7"/>
  <c r="L73" i="7"/>
  <c r="L76" i="7"/>
  <c r="L78" i="7"/>
  <c r="S19" i="3"/>
  <c r="O29" i="7"/>
  <c r="B19" i="3"/>
  <c r="S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E41" i="7"/>
  <c r="E31" i="7"/>
  <c r="E30" i="7"/>
  <c r="E23" i="7"/>
  <c r="E24" i="7"/>
  <c r="E22" i="7"/>
  <c r="E21" i="7"/>
  <c r="E20" i="7"/>
  <c r="E19" i="7"/>
  <c r="E18" i="7"/>
  <c r="E16" i="7"/>
  <c r="E15" i="7"/>
  <c r="E14" i="7"/>
  <c r="F5" i="7"/>
  <c r="E17" i="7"/>
  <c r="E13" i="7"/>
  <c r="K13" i="6"/>
  <c r="H9" i="6"/>
  <c r="H20" i="6"/>
  <c r="N17" i="7"/>
  <c r="N13" i="7"/>
  <c r="N20" i="7"/>
  <c r="T17" i="7"/>
  <c r="U15" i="3"/>
  <c r="T20" i="7"/>
  <c r="U13" i="3"/>
  <c r="T13" i="7"/>
  <c r="O12" i="7"/>
  <c r="F12" i="7"/>
  <c r="O74" i="7"/>
  <c r="U11" i="3"/>
  <c r="U20" i="3"/>
  <c r="U74" i="7"/>
  <c r="V26" i="7"/>
  <c r="U12" i="7"/>
  <c r="O75" i="7"/>
  <c r="U26" i="7"/>
  <c r="U73" i="7"/>
  <c r="V73" i="7"/>
  <c r="U75" i="7"/>
  <c r="P71" i="7"/>
  <c r="P26" i="7"/>
  <c r="U76" i="7"/>
  <c r="U78" i="7"/>
  <c r="R82" i="6"/>
  <c r="I82" i="6"/>
  <c r="F71" i="6"/>
  <c r="H70" i="6"/>
  <c r="Q69" i="6"/>
  <c r="H69" i="6"/>
  <c r="Q68" i="6"/>
  <c r="H68" i="6"/>
  <c r="Q67" i="6"/>
  <c r="H67" i="6"/>
  <c r="Q66" i="6"/>
  <c r="H66" i="6"/>
  <c r="Q65" i="6"/>
  <c r="H65" i="6"/>
  <c r="Q64" i="6"/>
  <c r="H64" i="6"/>
  <c r="O63" i="6"/>
  <c r="L63" i="6"/>
  <c r="F63" i="6"/>
  <c r="Q62" i="6"/>
  <c r="Q61" i="6"/>
  <c r="H61" i="6"/>
  <c r="Q60" i="6"/>
  <c r="H60" i="6"/>
  <c r="Q59" i="6"/>
  <c r="H59" i="6"/>
  <c r="Q58" i="6"/>
  <c r="H58" i="6"/>
  <c r="Q57" i="6"/>
  <c r="H57" i="6"/>
  <c r="Q56" i="6"/>
  <c r="H56" i="6"/>
  <c r="Q55" i="6"/>
  <c r="H55" i="6"/>
  <c r="Q54" i="6"/>
  <c r="H54" i="6"/>
  <c r="Q53" i="6"/>
  <c r="H53" i="6"/>
  <c r="Q52" i="6"/>
  <c r="H52" i="6"/>
  <c r="Q51" i="6"/>
  <c r="H51" i="6"/>
  <c r="O50" i="6"/>
  <c r="L50" i="6"/>
  <c r="F50" i="6"/>
  <c r="Q47" i="6"/>
  <c r="H47" i="6"/>
  <c r="Q46" i="6"/>
  <c r="H46" i="6"/>
  <c r="E46" i="6"/>
  <c r="F45" i="6"/>
  <c r="O45" i="6"/>
  <c r="L45" i="6"/>
  <c r="Q43" i="6"/>
  <c r="H43" i="6"/>
  <c r="Q42" i="6"/>
  <c r="H42" i="6"/>
  <c r="Q41" i="6"/>
  <c r="H41" i="6"/>
  <c r="Q40" i="6"/>
  <c r="H40" i="6"/>
  <c r="Q39" i="6"/>
  <c r="H39" i="6"/>
  <c r="Q38" i="6"/>
  <c r="H38" i="6"/>
  <c r="Q37" i="6"/>
  <c r="H37" i="6"/>
  <c r="Q36" i="6"/>
  <c r="H36" i="6"/>
  <c r="Q35" i="6"/>
  <c r="H35" i="6"/>
  <c r="Q34" i="6"/>
  <c r="H34" i="6"/>
  <c r="Q33" i="6"/>
  <c r="H33" i="6"/>
  <c r="E33" i="6"/>
  <c r="F30" i="6"/>
  <c r="Q32" i="6"/>
  <c r="H32" i="6"/>
  <c r="Q31" i="6"/>
  <c r="H31" i="6"/>
  <c r="O30" i="6"/>
  <c r="L30" i="6"/>
  <c r="Q26" i="6"/>
  <c r="Q25" i="6"/>
  <c r="H25" i="6"/>
  <c r="Q24" i="6"/>
  <c r="H24" i="6"/>
  <c r="Q23" i="6"/>
  <c r="H23" i="6"/>
  <c r="Q22" i="6"/>
  <c r="H22" i="6"/>
  <c r="Q21" i="6"/>
  <c r="H21" i="6"/>
  <c r="Q20" i="6"/>
  <c r="Q19" i="6"/>
  <c r="H19" i="6"/>
  <c r="Q18" i="6"/>
  <c r="H18" i="6"/>
  <c r="Q17" i="6"/>
  <c r="H17" i="6"/>
  <c r="Q16" i="6"/>
  <c r="H16" i="6"/>
  <c r="Q15" i="6"/>
  <c r="H15" i="6"/>
  <c r="E15" i="6"/>
  <c r="F12" i="6"/>
  <c r="Q14" i="6"/>
  <c r="H14" i="6"/>
  <c r="Q13" i="6"/>
  <c r="H13" i="6"/>
  <c r="O12" i="6"/>
  <c r="L12" i="6"/>
  <c r="Q10" i="6"/>
  <c r="Q9" i="6"/>
  <c r="Q8" i="6"/>
  <c r="H8" i="6"/>
  <c r="O7" i="6"/>
  <c r="L7" i="6"/>
  <c r="F7" i="6"/>
  <c r="R5" i="6"/>
  <c r="I5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Y80" i="4"/>
  <c r="W80" i="4"/>
  <c r="W77" i="4"/>
  <c r="V71" i="4"/>
  <c r="P70" i="4"/>
  <c r="V70" i="4"/>
  <c r="P69" i="4"/>
  <c r="V69" i="4"/>
  <c r="V68" i="4"/>
  <c r="V67" i="4"/>
  <c r="V66" i="4"/>
  <c r="T65" i="4"/>
  <c r="V63" i="4"/>
  <c r="P62" i="4"/>
  <c r="V62" i="4"/>
  <c r="P61" i="4"/>
  <c r="V61" i="4"/>
  <c r="V60" i="4"/>
  <c r="V59" i="4"/>
  <c r="V58" i="4"/>
  <c r="P57" i="4"/>
  <c r="V57" i="4"/>
  <c r="P56" i="4"/>
  <c r="V56" i="4"/>
  <c r="P55" i="4"/>
  <c r="V55" i="4"/>
  <c r="V54" i="4"/>
  <c r="P53" i="4"/>
  <c r="V53" i="4"/>
  <c r="T52" i="4"/>
  <c r="V49" i="4"/>
  <c r="W47" i="4"/>
  <c r="T47" i="4"/>
  <c r="Q47" i="4"/>
  <c r="V44" i="4"/>
  <c r="V43" i="4"/>
  <c r="V42" i="4"/>
  <c r="V41" i="4"/>
  <c r="V40" i="4"/>
  <c r="V39" i="4"/>
  <c r="P38" i="4"/>
  <c r="V38" i="4"/>
  <c r="V37" i="4"/>
  <c r="V36" i="4"/>
  <c r="V35" i="4"/>
  <c r="P34" i="4"/>
  <c r="V34" i="4"/>
  <c r="V33" i="4"/>
  <c r="V32" i="4"/>
  <c r="T31" i="4"/>
  <c r="V26" i="4"/>
  <c r="V25" i="4"/>
  <c r="V24" i="4"/>
  <c r="V23" i="4"/>
  <c r="V22" i="4"/>
  <c r="P21" i="4"/>
  <c r="V21" i="4"/>
  <c r="V20" i="4"/>
  <c r="V19" i="4"/>
  <c r="V18" i="4"/>
  <c r="V17" i="4"/>
  <c r="P16" i="4"/>
  <c r="V16" i="4"/>
  <c r="V15" i="4"/>
  <c r="V14" i="4"/>
  <c r="T13" i="4"/>
  <c r="V9" i="4"/>
  <c r="V8" i="4"/>
  <c r="T7" i="4"/>
  <c r="Q7" i="4"/>
  <c r="Q5" i="4"/>
  <c r="W5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Q31" i="4"/>
  <c r="T28" i="4"/>
  <c r="Q13" i="4"/>
  <c r="W7" i="4"/>
  <c r="T74" i="4"/>
  <c r="T76" i="4"/>
  <c r="T78" i="4"/>
  <c r="T81" i="4"/>
  <c r="Q52" i="4"/>
  <c r="Q65" i="4"/>
  <c r="Q74" i="4"/>
  <c r="Y74" i="4"/>
  <c r="W65" i="4"/>
  <c r="O73" i="6"/>
  <c r="I45" i="6"/>
  <c r="R50" i="6"/>
  <c r="R45" i="6"/>
  <c r="I63" i="6"/>
  <c r="O27" i="6"/>
  <c r="R30" i="6"/>
  <c r="R63" i="6"/>
  <c r="R7" i="6"/>
  <c r="F73" i="6"/>
  <c r="F75" i="6"/>
  <c r="F83" i="6"/>
  <c r="R12" i="6"/>
  <c r="L73" i="6"/>
  <c r="L27" i="6"/>
  <c r="I12" i="6"/>
  <c r="I7" i="6"/>
  <c r="I50" i="6"/>
  <c r="I30" i="6"/>
  <c r="F27" i="6"/>
  <c r="W52" i="4"/>
  <c r="W31" i="4"/>
  <c r="W13" i="4"/>
  <c r="W28" i="4"/>
  <c r="Q28" i="4"/>
  <c r="R27" i="6"/>
  <c r="R73" i="6"/>
  <c r="L75" i="6"/>
  <c r="L77" i="6"/>
  <c r="L83" i="6"/>
  <c r="I73" i="6"/>
  <c r="O75" i="6"/>
  <c r="O83" i="6"/>
  <c r="F77" i="6"/>
  <c r="F80" i="6"/>
  <c r="I27" i="6"/>
  <c r="Q76" i="4"/>
  <c r="Y28" i="4"/>
  <c r="W74" i="4"/>
  <c r="W76" i="4"/>
  <c r="W78" i="4"/>
  <c r="W81" i="4"/>
  <c r="R75" i="6"/>
  <c r="R83" i="6"/>
  <c r="O77" i="6"/>
  <c r="O80" i="6"/>
  <c r="I75" i="6"/>
  <c r="I77" i="6"/>
  <c r="I83" i="6"/>
  <c r="L80" i="6"/>
  <c r="R77" i="6"/>
  <c r="R80" i="6"/>
  <c r="Q78" i="4"/>
  <c r="Y76" i="4"/>
  <c r="I80" i="6"/>
  <c r="Q81" i="4"/>
  <c r="Y81" i="4"/>
  <c r="Y78" i="4"/>
  <c r="H69" i="7"/>
  <c r="O62" i="7"/>
  <c r="F62" i="7"/>
  <c r="F49" i="7"/>
  <c r="O44" i="7"/>
  <c r="F44" i="7"/>
  <c r="F29" i="7"/>
  <c r="H10" i="7"/>
  <c r="O7" i="7"/>
  <c r="F7" i="7"/>
  <c r="A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F8" i="10"/>
  <c r="F18" i="10"/>
  <c r="F19" i="10"/>
  <c r="F71" i="7"/>
  <c r="O71" i="7"/>
  <c r="P73" i="7"/>
  <c r="F26" i="7"/>
  <c r="O26" i="7"/>
  <c r="F73" i="7"/>
  <c r="F76" i="7"/>
  <c r="F78" i="7"/>
  <c r="O73" i="7"/>
  <c r="O76" i="7"/>
  <c r="O78" i="7"/>
  <c r="H60" i="7"/>
  <c r="H59" i="7"/>
  <c r="H58" i="7"/>
  <c r="H57" i="7"/>
  <c r="H56" i="7"/>
  <c r="H55" i="7"/>
  <c r="H53" i="7"/>
  <c r="H52" i="7"/>
  <c r="H51" i="7"/>
  <c r="H68" i="7"/>
  <c r="H63" i="7"/>
  <c r="H64" i="7"/>
  <c r="H65" i="7"/>
  <c r="H66" i="7"/>
  <c r="H34" i="7"/>
  <c r="H20" i="7"/>
  <c r="H30" i="7"/>
  <c r="H54" i="7"/>
  <c r="H24" i="7"/>
  <c r="H50" i="7"/>
  <c r="H33" i="7"/>
  <c r="H18" i="7"/>
  <c r="H15" i="7"/>
  <c r="H40" i="7"/>
  <c r="H23" i="7"/>
  <c r="I5" i="7"/>
  <c r="H19" i="7"/>
  <c r="H35" i="7"/>
  <c r="H22" i="7"/>
  <c r="H16" i="7"/>
  <c r="H32" i="7"/>
  <c r="H17" i="7"/>
  <c r="H13" i="7"/>
  <c r="H36" i="7"/>
  <c r="H37" i="7"/>
  <c r="H8" i="7"/>
  <c r="H31" i="7"/>
  <c r="H39" i="7"/>
  <c r="H9" i="7"/>
  <c r="H14" i="7"/>
  <c r="H21" i="7"/>
  <c r="H41" i="7"/>
  <c r="H38" i="7"/>
  <c r="H46" i="7"/>
  <c r="I44" i="7"/>
  <c r="H67" i="7"/>
  <c r="I62" i="7"/>
  <c r="I49" i="7"/>
  <c r="I29" i="7"/>
  <c r="I7" i="7"/>
  <c r="I12" i="7"/>
  <c r="I77" i="7"/>
  <c r="I71" i="7"/>
  <c r="I26" i="7"/>
  <c r="I73" i="7"/>
  <c r="I76" i="7"/>
  <c r="I78" i="7"/>
  <c r="Q15" i="3"/>
  <c r="Q12" i="3"/>
  <c r="Q14" i="3"/>
  <c r="Q17" i="3"/>
  <c r="Q16" i="3"/>
  <c r="Q13" i="3"/>
  <c r="Q18" i="3"/>
  <c r="Q11" i="3"/>
  <c r="S18" i="3"/>
  <c r="I18" i="3"/>
  <c r="E18" i="3"/>
  <c r="S17" i="3"/>
  <c r="I17" i="3"/>
  <c r="E17" i="3"/>
  <c r="S16" i="3"/>
  <c r="I16" i="3"/>
  <c r="E16" i="3"/>
  <c r="S15" i="3"/>
  <c r="I15" i="3"/>
  <c r="E15" i="3"/>
  <c r="S14" i="3"/>
  <c r="I14" i="3"/>
  <c r="E14" i="3"/>
  <c r="S13" i="3"/>
  <c r="I13" i="3"/>
  <c r="E13" i="3"/>
  <c r="S12" i="3"/>
  <c r="I12" i="3"/>
  <c r="E12" i="3"/>
  <c r="I11" i="3"/>
  <c r="S11" i="3"/>
  <c r="E11" i="3"/>
  <c r="L18" i="3"/>
  <c r="L17" i="3"/>
  <c r="L16" i="3"/>
  <c r="L15" i="3"/>
  <c r="L14" i="3"/>
  <c r="L13" i="3"/>
  <c r="L12" i="3"/>
  <c r="L11" i="3"/>
  <c r="B18" i="3"/>
  <c r="B17" i="3"/>
  <c r="B16" i="3"/>
  <c r="B15" i="3"/>
  <c r="B14" i="3"/>
  <c r="B13" i="3"/>
  <c r="B12" i="3"/>
  <c r="B11" i="3"/>
  <c r="Q20" i="3"/>
  <c r="L20" i="3"/>
  <c r="E20" i="3"/>
  <c r="S20" i="3"/>
  <c r="N12" i="3"/>
  <c r="N18" i="3"/>
  <c r="N17" i="3"/>
  <c r="N16" i="3"/>
  <c r="N15" i="3"/>
  <c r="N13" i="3"/>
  <c r="N14" i="3"/>
  <c r="N11" i="3"/>
  <c r="P16" i="3"/>
  <c r="P12" i="3"/>
  <c r="P18" i="3"/>
  <c r="P17" i="3"/>
  <c r="P15" i="3"/>
  <c r="P13" i="3"/>
  <c r="P14" i="3"/>
  <c r="P11" i="3"/>
  <c r="P20" i="3"/>
  <c r="N20" i="3"/>
  <c r="I20" i="3"/>
  <c r="G20" i="3"/>
</calcChain>
</file>

<file path=xl/sharedStrings.xml><?xml version="1.0" encoding="utf-8"?>
<sst xmlns="http://schemas.openxmlformats.org/spreadsheetml/2006/main" count="697" uniqueCount="239">
  <si>
    <t>Actual</t>
  </si>
  <si>
    <t>Estimated</t>
  </si>
  <si>
    <t>(000's)</t>
  </si>
  <si>
    <t>Grants</t>
  </si>
  <si>
    <t>12 mos</t>
  </si>
  <si>
    <t>A/O Dec 2016</t>
  </si>
  <si>
    <t>Approved Budget</t>
  </si>
  <si>
    <t>Forecast</t>
  </si>
  <si>
    <t>Japan Study Mission</t>
  </si>
  <si>
    <t>Memphis Japan Festival</t>
  </si>
  <si>
    <t>Annual Meeting</t>
  </si>
  <si>
    <t>Japanese Speech Contest</t>
  </si>
  <si>
    <t>Business Seminars</t>
  </si>
  <si>
    <t>Operating, Administrative &amp; Other Exp</t>
  </si>
  <si>
    <t>----------</t>
  </si>
  <si>
    <t>A/O Oct 2017</t>
  </si>
  <si>
    <t xml:space="preserve">                     A</t>
  </si>
  <si>
    <t xml:space="preserve">                     B</t>
  </si>
  <si>
    <t xml:space="preserve">                     C</t>
  </si>
  <si>
    <t xml:space="preserve">                       D = (B + C)</t>
  </si>
  <si>
    <t xml:space="preserve">                      E =  (D - A)</t>
  </si>
  <si>
    <t xml:space="preserve">                   ACTUAL 10 MONTHS</t>
  </si>
  <si>
    <t xml:space="preserve">                      ESTIMATED 2 MONTHS</t>
  </si>
  <si>
    <t xml:space="preserve">                   ESTIMATED 12 MONTHS</t>
  </si>
  <si>
    <t xml:space="preserve">EST OVER (UNDER) </t>
  </si>
  <si>
    <t xml:space="preserve">Estimated Operating Income </t>
  </si>
  <si>
    <t>Projected</t>
  </si>
  <si>
    <t>Memberships - New/Renewals</t>
  </si>
  <si>
    <t>ECD</t>
  </si>
  <si>
    <t>NAJAS Speaker Grant (Women's Networking Event)</t>
  </si>
  <si>
    <t>Annual Program Sponsorships/Donations</t>
  </si>
  <si>
    <t>Nashville Cherry Blossom Festival</t>
  </si>
  <si>
    <t>Speech Contest</t>
  </si>
  <si>
    <t xml:space="preserve">Mitsui Scholarships </t>
  </si>
  <si>
    <t xml:space="preserve">Golf </t>
  </si>
  <si>
    <t>Other Program Income</t>
  </si>
  <si>
    <t xml:space="preserve">SEUS/Japan Meet Reg Fees </t>
  </si>
  <si>
    <t>Young Professionals</t>
  </si>
  <si>
    <t>Women's Networking Event</t>
  </si>
  <si>
    <t>Regional Membership Events</t>
  </si>
  <si>
    <t>Business Seminars/Other Misc. Income</t>
  </si>
  <si>
    <t>Miscellaneous</t>
  </si>
  <si>
    <t>Total Estimated Operating Income</t>
  </si>
  <si>
    <t xml:space="preserve">Estimated Operating Expenses </t>
  </si>
  <si>
    <t>Programs and Events</t>
  </si>
  <si>
    <t xml:space="preserve">Nashville Cherry Blossom Festival </t>
  </si>
  <si>
    <t>Mitsui Scholarships</t>
  </si>
  <si>
    <t>Golf</t>
  </si>
  <si>
    <t>SEUS/Japan Registration Fees</t>
  </si>
  <si>
    <t>SEUS Other</t>
  </si>
  <si>
    <t>Regional Membership  Events</t>
  </si>
  <si>
    <t>Business Seminars/Miscellaneous</t>
  </si>
  <si>
    <t>Dual-language Website</t>
  </si>
  <si>
    <t xml:space="preserve">Translations for Website Content </t>
  </si>
  <si>
    <t>Website Registration/Hosting &amp; Security</t>
  </si>
  <si>
    <t>Operations</t>
  </si>
  <si>
    <t>Dues/Subscriptions</t>
  </si>
  <si>
    <t>Facilities Rental (Storage)</t>
  </si>
  <si>
    <t>Business Expenses</t>
  </si>
  <si>
    <t>Postage/Printing/Marketing Material</t>
  </si>
  <si>
    <t>Professional Services (Accounting)</t>
  </si>
  <si>
    <t>Graphic Design Services</t>
  </si>
  <si>
    <t>Telephone Services</t>
  </si>
  <si>
    <t>Office Supplies</t>
  </si>
  <si>
    <t>Banking Fees</t>
  </si>
  <si>
    <t>Travel and Parking</t>
  </si>
  <si>
    <t>Staffing</t>
  </si>
  <si>
    <t xml:space="preserve">CEO </t>
  </si>
  <si>
    <t xml:space="preserve">Exec. Assistant </t>
  </si>
  <si>
    <t xml:space="preserve">Programs &amp; Membership Director </t>
  </si>
  <si>
    <t>Bi-lingual Outreach Coordinators</t>
  </si>
  <si>
    <t>FICA/FUTA/SUTA</t>
  </si>
  <si>
    <t>Payroll Services</t>
  </si>
  <si>
    <t xml:space="preserve">Total Estimated Operating Expenses </t>
  </si>
  <si>
    <t>Investment Income</t>
  </si>
  <si>
    <t>Interest, Dividends, Gains &amp; losses</t>
  </si>
  <si>
    <t>Management Fee</t>
  </si>
  <si>
    <t>10 MOS</t>
  </si>
  <si>
    <t>2 MOS</t>
  </si>
  <si>
    <t>12 MOS</t>
  </si>
  <si>
    <t>Investment Fund Request</t>
  </si>
  <si>
    <t>Highlighted items</t>
  </si>
  <si>
    <t>2018</t>
  </si>
  <si>
    <t>Proposed</t>
  </si>
  <si>
    <t>Mitsui Scholarships 2017-2018</t>
  </si>
  <si>
    <t>SEUS/Japan Meeting Registration Fees</t>
  </si>
  <si>
    <t xml:space="preserve">Total Estimated Operating Income </t>
  </si>
  <si>
    <t>Estimated Operating Expenses</t>
  </si>
  <si>
    <t>Regional Membership  Events/Conferences</t>
  </si>
  <si>
    <t>Dual-language Websites</t>
  </si>
  <si>
    <t>Postage/Printing/Marketing Materials</t>
  </si>
  <si>
    <t xml:space="preserve">Net Operating Cash Flow </t>
  </si>
  <si>
    <t>Approved</t>
  </si>
  <si>
    <t>Revised Budget</t>
  </si>
  <si>
    <t>Signature Events</t>
  </si>
  <si>
    <t>Original Budget</t>
  </si>
  <si>
    <t xml:space="preserve">                      REV BUD 12 MONTHS</t>
  </si>
  <si>
    <t>REV BUDGET</t>
  </si>
  <si>
    <t>Website Registration/Hosting/Security/Tech Asst.</t>
  </si>
  <si>
    <t>2019</t>
  </si>
  <si>
    <t>A/O Dec 2018</t>
  </si>
  <si>
    <t>Capital Improvements/Training</t>
  </si>
  <si>
    <t>Total Estimated Operating Expenses</t>
  </si>
  <si>
    <t>Mitsui</t>
  </si>
  <si>
    <t>Prof Services (Accounting &amp; Bookkeeping)</t>
  </si>
  <si>
    <t>Operations Coordinator</t>
  </si>
  <si>
    <t xml:space="preserve">JAST Proposed 2020 Budget  </t>
  </si>
  <si>
    <t>2020</t>
  </si>
  <si>
    <t>Rev Bud</t>
  </si>
  <si>
    <t>NAJAS Speaker Grant (Women's Net)</t>
  </si>
  <si>
    <t xml:space="preserve">*PENDING* Mitsui (Lecture Series) </t>
  </si>
  <si>
    <t>Regional Membership  Events/Confer</t>
  </si>
  <si>
    <t>Investment Income, Net</t>
  </si>
  <si>
    <t>Represent Proposed Changes Over 2018 Actual</t>
  </si>
  <si>
    <t xml:space="preserve">JAST 2018 Actual VS Estimate  </t>
  </si>
  <si>
    <t>Difference</t>
  </si>
  <si>
    <t xml:space="preserve">Operating Income </t>
  </si>
  <si>
    <t>Annual Program Sponsorships/Donations/ other Program Income</t>
  </si>
  <si>
    <r>
      <t>Total Operating Income  (</t>
    </r>
    <r>
      <rPr>
        <b/>
        <i/>
        <sz val="10"/>
        <rFont val="Arial"/>
        <family val="2"/>
      </rPr>
      <t>lines 4 to 27)</t>
    </r>
  </si>
  <si>
    <t>COO</t>
  </si>
  <si>
    <r>
      <t xml:space="preserve">Total Opertating Expenses </t>
    </r>
    <r>
      <rPr>
        <b/>
        <i/>
        <sz val="10"/>
        <rFont val="Arial"/>
        <family val="2"/>
      </rPr>
      <t>(lines 30 to 71)</t>
    </r>
  </si>
  <si>
    <r>
      <t xml:space="preserve">Operating Net Income (Loss) Before Prior  Period Adjustment </t>
    </r>
    <r>
      <rPr>
        <b/>
        <i/>
        <sz val="10"/>
        <rFont val="Arial"/>
        <family val="2"/>
      </rPr>
      <t>(line 27-73)</t>
    </r>
  </si>
  <si>
    <t>Prior Period Adjustment</t>
  </si>
  <si>
    <r>
      <t xml:space="preserve">Operating Net Income (Loss) After Prior  Period Adjustment </t>
    </r>
    <r>
      <rPr>
        <b/>
        <i/>
        <sz val="10"/>
        <rFont val="Arial"/>
        <family val="2"/>
      </rPr>
      <t>(line 75+76)</t>
    </r>
  </si>
  <si>
    <t>Investment Income (Loss), Net</t>
  </si>
  <si>
    <r>
      <t xml:space="preserve">Overall  Net Income (Loss) </t>
    </r>
    <r>
      <rPr>
        <b/>
        <i/>
        <sz val="10"/>
        <rFont val="Arial"/>
        <family val="2"/>
      </rPr>
      <t>(line 77+79)</t>
    </r>
  </si>
  <si>
    <t>A/O June 2019</t>
  </si>
  <si>
    <t>A/O Dec 2019</t>
  </si>
  <si>
    <t>[-------------1------------]</t>
  </si>
  <si>
    <t>[-------------2------------]</t>
  </si>
  <si>
    <t>[--------(1 + 2)---------]</t>
  </si>
  <si>
    <t xml:space="preserve">JAST Proposed 2019 Budget  </t>
  </si>
  <si>
    <t>Dec BD Approval</t>
  </si>
  <si>
    <t>Changes</t>
  </si>
  <si>
    <t>Revised</t>
  </si>
  <si>
    <t>Prior Period Adjustment (PPA)</t>
  </si>
  <si>
    <r>
      <t xml:space="preserve">Estimated Operating Net Income (Loss) After PPA </t>
    </r>
    <r>
      <rPr>
        <b/>
        <i/>
        <sz val="10"/>
        <rFont val="Arial"/>
        <family val="2"/>
      </rPr>
      <t>(line 77+78)</t>
    </r>
  </si>
  <si>
    <r>
      <t xml:space="preserve">Estimated Overall  Net Income (Loss) </t>
    </r>
    <r>
      <rPr>
        <b/>
        <i/>
        <sz val="10"/>
        <rFont val="Arial"/>
        <family val="2"/>
      </rPr>
      <t>(line 79+81)</t>
    </r>
  </si>
  <si>
    <t>(lines 79+84)</t>
  </si>
  <si>
    <t xml:space="preserve">Strategic Plan </t>
  </si>
  <si>
    <t xml:space="preserve">Sale of Havlicek Artwork, Net </t>
  </si>
  <si>
    <t>Represent Proposed Changes Over 2019 Actual</t>
  </si>
  <si>
    <r>
      <t xml:space="preserve">Estimated Operating Net Income (Loss) Before Strategic Plan &amp; Art Sale </t>
    </r>
    <r>
      <rPr>
        <b/>
        <i/>
        <sz val="10"/>
        <rFont val="Arial"/>
        <family val="2"/>
      </rPr>
      <t>(line 26-71)</t>
    </r>
  </si>
  <si>
    <r>
      <t xml:space="preserve"> Estimated  Net Operating Income (Loss) (</t>
    </r>
    <r>
      <rPr>
        <b/>
        <i/>
        <sz val="10"/>
        <color theme="1"/>
        <rFont val="Arial"/>
        <family val="2"/>
      </rPr>
      <t>line 73+74+75)</t>
    </r>
  </si>
  <si>
    <r>
      <t xml:space="preserve">Estimated Overall  Net Income  </t>
    </r>
    <r>
      <rPr>
        <b/>
        <i/>
        <sz val="10"/>
        <rFont val="Arial"/>
        <family val="2"/>
      </rPr>
      <t>(line 76+77)</t>
    </r>
  </si>
  <si>
    <r>
      <t xml:space="preserve">Estimated Operating Net Income (Loss) Before PPA </t>
    </r>
    <r>
      <rPr>
        <b/>
        <i/>
        <sz val="10"/>
        <rFont val="Arial"/>
        <family val="2"/>
      </rPr>
      <t>(line 27-73)</t>
    </r>
  </si>
  <si>
    <t>Depreciation</t>
  </si>
  <si>
    <t>Special Advisor to BOD</t>
  </si>
  <si>
    <t>COMMENTS</t>
  </si>
  <si>
    <t>Adjustment reflects 2020 Membership Changes</t>
  </si>
  <si>
    <t>Viability of Festival Uncertain due to Covid-19 Progression</t>
  </si>
  <si>
    <t>Attendance/Sponsors of Tournament Uncertain due to Covid-19 Progression</t>
  </si>
  <si>
    <t>Adjusted due to actual costs</t>
  </si>
  <si>
    <t xml:space="preserve">TAJSC Cancelled in 2020/Funds will be redirected to another event </t>
  </si>
  <si>
    <t>Based on no CEO Salary until Sept.</t>
  </si>
  <si>
    <t>Conversion to Employee Status/Combines Separate Project Payments</t>
  </si>
  <si>
    <t>Potential Additional Compensation to Leigh</t>
  </si>
  <si>
    <t>PPP Loan - Scenario 1</t>
  </si>
  <si>
    <t>SBA Payroll Protection Program</t>
  </si>
  <si>
    <t>Full Loan Forgiveness</t>
  </si>
  <si>
    <t>Adjusted for virtual Festival due to Covid-19 Postponement/Refunds</t>
  </si>
  <si>
    <t>A/O April 2020</t>
  </si>
  <si>
    <t>Rev Best Budget</t>
  </si>
  <si>
    <t>Adjustment reflects 2020 Membership Changes, if all invoices paid</t>
  </si>
  <si>
    <t>Max Forgiveness of PPP Loan</t>
  </si>
  <si>
    <t>Adjusted due to Covid-19 Postponement/Refunds &amp; AssumesPartial  Retention of Sponsorships</t>
  </si>
  <si>
    <t>Cancel Event</t>
  </si>
  <si>
    <t>If cannot get deposit refunded</t>
  </si>
  <si>
    <t>Based on no CEO Salary in 2020</t>
  </si>
  <si>
    <t>Programs &amp; Membership Director/Administrator</t>
  </si>
  <si>
    <t>Rev WORST Budget</t>
  </si>
  <si>
    <t>Rev BEST Budget</t>
  </si>
  <si>
    <t>Peyton</t>
  </si>
  <si>
    <t>Ginger</t>
  </si>
  <si>
    <t>Mari</t>
  </si>
  <si>
    <t>reg salary</t>
  </si>
  <si>
    <t>July - Dec</t>
  </si>
  <si>
    <t>Annual</t>
  </si>
  <si>
    <t>FT HRLY</t>
  </si>
  <si>
    <t>PPP Forgiveness       8 week period</t>
  </si>
  <si>
    <t>Rev Worst Budget</t>
  </si>
  <si>
    <t>Donna Lee</t>
  </si>
  <si>
    <t>$16,000 transferred from Investment account to JAST Checking in Jan 2020</t>
  </si>
  <si>
    <t>Jan - April/20/20</t>
  </si>
  <si>
    <t>4/21/20 - 6/16/20</t>
  </si>
  <si>
    <t>incentive/ Additional responsibilities</t>
  </si>
  <si>
    <t>JAST Revised Budget - 2020 VS  Estimated 2020; DETAIL</t>
  </si>
  <si>
    <t xml:space="preserve">                      12/31/2020</t>
  </si>
  <si>
    <t xml:space="preserve">    JAN TO OCT 2020</t>
  </si>
  <si>
    <t xml:space="preserve">      NOV TO DEC 2020</t>
  </si>
  <si>
    <t xml:space="preserve">                           12-31-2020</t>
  </si>
  <si>
    <t>Forgiveness Pending</t>
  </si>
  <si>
    <t>Japan Foundation (CGP)</t>
  </si>
  <si>
    <t>Mightycause Foundation</t>
  </si>
  <si>
    <t>Humanities TN</t>
  </si>
  <si>
    <t>Remote working Grant</t>
  </si>
  <si>
    <t>First Horizon Bank</t>
  </si>
  <si>
    <t>Tree Replacement Project</t>
  </si>
  <si>
    <t>Cooking with JAST</t>
  </si>
  <si>
    <t>TPAC Salon Series</t>
  </si>
  <si>
    <t>New JAST Website Layout plus domain renewals</t>
  </si>
  <si>
    <t xml:space="preserve">Dues/Subscriptions </t>
  </si>
  <si>
    <t>JAST Retrospective - CCP Grant</t>
  </si>
  <si>
    <t xml:space="preserve"> Revised Budget</t>
  </si>
  <si>
    <t>Prior period adjustments (w/o uncollectible Rec)</t>
  </si>
  <si>
    <t>EST over (under)</t>
  </si>
  <si>
    <t>REV Budget</t>
  </si>
  <si>
    <t>Estimated  Operating Net Income (Loss) before adjustments (lines 31-77)</t>
  </si>
  <si>
    <r>
      <t xml:space="preserve"> Estimated  Net Operating Income (Loss) after adjustments (</t>
    </r>
    <r>
      <rPr>
        <b/>
        <i/>
        <sz val="10"/>
        <color theme="1"/>
        <rFont val="Arial"/>
        <family val="2"/>
      </rPr>
      <t>line 79+80+81+82)</t>
    </r>
  </si>
  <si>
    <t>Estimated Overall Net Income (Loss)  (lines 83+84)</t>
  </si>
  <si>
    <t>Proposed 2021 Budget</t>
  </si>
  <si>
    <t xml:space="preserve">                      12/31/2021</t>
  </si>
  <si>
    <t>NAJAS for Annual Meeting</t>
  </si>
  <si>
    <t xml:space="preserve">Exec. Admin/Programs &amp; Membership Director </t>
  </si>
  <si>
    <t xml:space="preserve">        Memberships - New/Renewals</t>
  </si>
  <si>
    <t>Strategic Plan</t>
  </si>
  <si>
    <t xml:space="preserve">       Annual Program Sponsorships/Donations</t>
  </si>
  <si>
    <t>Public Awareness Initiative</t>
  </si>
  <si>
    <t>Estimated  Operating Net Income (Loss) before adjustments (lines 30-76)</t>
  </si>
  <si>
    <r>
      <t xml:space="preserve"> Estimated  Net Operating Income (Loss) after adjustments (</t>
    </r>
    <r>
      <rPr>
        <b/>
        <i/>
        <sz val="10"/>
        <color theme="1"/>
        <rFont val="Arial"/>
        <family val="2"/>
      </rPr>
      <t>line 78+79+80+81)</t>
    </r>
  </si>
  <si>
    <t>Estimated Overall Net Income (Loss)  (lines 82+83)</t>
  </si>
  <si>
    <t xml:space="preserve">Investment Fund Withdrawals as approved by the JAST Finance Committee to cover operating expenses on an as needed basis throughout 2021 not to exceed a total of </t>
  </si>
  <si>
    <t xml:space="preserve">       Revised BUD 2021</t>
  </si>
  <si>
    <t xml:space="preserve">                          Actual 12 MONTHS</t>
  </si>
  <si>
    <t xml:space="preserve">       Original BUD 2021</t>
  </si>
  <si>
    <t>December Board Meeting</t>
  </si>
  <si>
    <t>June Board Meeting</t>
  </si>
  <si>
    <t>Orig Budget</t>
  </si>
  <si>
    <t>Rev Budget</t>
  </si>
  <si>
    <t>Dec 2021  Board Meeting</t>
  </si>
  <si>
    <t xml:space="preserve">     Forecast </t>
  </si>
  <si>
    <t xml:space="preserve">                      12/31/2022</t>
  </si>
  <si>
    <t xml:space="preserve">                      12/31/2023</t>
  </si>
  <si>
    <t xml:space="preserve">                      12/31/2024</t>
  </si>
  <si>
    <t xml:space="preserve">                           12-31-2021</t>
  </si>
  <si>
    <t>From EST 2021 worksheet</t>
  </si>
  <si>
    <t>same as 2019</t>
  </si>
  <si>
    <t>8.9 percent</t>
  </si>
  <si>
    <t>5.9 percent increase?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</si>
</sst>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0.0"/>
    <numFmt numFmtId="170" formatCode="#,##0.0_);[Red]\(#,##0.0\)"/>
    <numFmt numFmtId="171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28"/>
      <color rgb="FFC0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48"/>
      <color theme="1"/>
      <name val="Calibri"/>
      <family val="2"/>
      <scheme val="minor"/>
    </font>
    <font>
      <b/>
      <sz val="10"/>
      <color theme="8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6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E1F2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9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8" xfId="0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16" fontId="3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5" fillId="0" borderId="7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3" xfId="0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/>
    <xf numFmtId="0" fontId="7" fillId="0" borderId="17" xfId="0" applyFont="1" applyBorder="1"/>
    <xf numFmtId="38" fontId="7" fillId="0" borderId="7" xfId="0" applyNumberFormat="1" applyFont="1" applyBorder="1" applyAlignment="1">
      <alignment horizontal="center"/>
    </xf>
    <xf numFmtId="38" fontId="7" fillId="0" borderId="0" xfId="0" applyNumberFormat="1" applyFont="1" applyBorder="1" applyAlignment="1">
      <alignment horizontal="center"/>
    </xf>
    <xf numFmtId="38" fontId="7" fillId="0" borderId="0" xfId="2" applyNumberFormat="1" applyFont="1" applyBorder="1" applyAlignment="1">
      <alignment horizontal="center"/>
    </xf>
    <xf numFmtId="38" fontId="7" fillId="0" borderId="0" xfId="2" applyNumberFormat="1" applyFont="1" applyBorder="1" applyAlignment="1"/>
    <xf numFmtId="38" fontId="7" fillId="0" borderId="0" xfId="0" applyNumberFormat="1" applyFont="1" applyBorder="1"/>
    <xf numFmtId="0" fontId="8" fillId="0" borderId="18" xfId="0" applyFont="1" applyBorder="1"/>
    <xf numFmtId="0" fontId="7" fillId="0" borderId="19" xfId="0" applyFont="1" applyBorder="1"/>
    <xf numFmtId="38" fontId="7" fillId="5" borderId="20" xfId="0" applyNumberFormat="1" applyFont="1" applyFill="1" applyBorder="1" applyAlignment="1">
      <alignment horizontal="center"/>
    </xf>
    <xf numFmtId="38" fontId="7" fillId="5" borderId="21" xfId="0" applyNumberFormat="1" applyFont="1" applyFill="1" applyBorder="1" applyAlignment="1">
      <alignment horizontal="center"/>
    </xf>
    <xf numFmtId="38" fontId="7" fillId="6" borderId="22" xfId="0" applyNumberFormat="1" applyFont="1" applyFill="1" applyBorder="1" applyAlignment="1">
      <alignment horizontal="center"/>
    </xf>
    <xf numFmtId="38" fontId="7" fillId="7" borderId="22" xfId="0" applyNumberFormat="1" applyFont="1" applyFill="1" applyBorder="1" applyAlignment="1">
      <alignment horizontal="center"/>
    </xf>
    <xf numFmtId="38" fontId="7" fillId="7" borderId="22" xfId="2" applyNumberFormat="1" applyFont="1" applyFill="1" applyBorder="1" applyAlignment="1"/>
    <xf numFmtId="38" fontId="9" fillId="8" borderId="23" xfId="2" applyNumberFormat="1" applyFont="1" applyFill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7" fillId="0" borderId="26" xfId="0" applyFont="1" applyBorder="1"/>
    <xf numFmtId="38" fontId="7" fillId="8" borderId="23" xfId="0" applyNumberFormat="1" applyFont="1" applyFill="1" applyBorder="1" applyAlignment="1">
      <alignment horizontal="center"/>
    </xf>
    <xf numFmtId="38" fontId="10" fillId="8" borderId="27" xfId="0" applyNumberFormat="1" applyFont="1" applyFill="1" applyBorder="1" applyAlignment="1">
      <alignment horizontal="center"/>
    </xf>
    <xf numFmtId="38" fontId="10" fillId="0" borderId="28" xfId="0" applyNumberFormat="1" applyFont="1" applyBorder="1" applyAlignment="1">
      <alignment horizontal="center"/>
    </xf>
    <xf numFmtId="38" fontId="7" fillId="8" borderId="23" xfId="0" applyNumberFormat="1" applyFont="1" applyFill="1" applyBorder="1" applyAlignment="1">
      <alignment horizontal="left"/>
    </xf>
    <xf numFmtId="38" fontId="10" fillId="0" borderId="0" xfId="0" applyNumberFormat="1" applyFont="1" applyFill="1" applyBorder="1" applyAlignment="1">
      <alignment horizontal="center"/>
    </xf>
    <xf numFmtId="38" fontId="10" fillId="8" borderId="27" xfId="2" applyNumberFormat="1" applyFont="1" applyFill="1" applyBorder="1" applyAlignment="1">
      <alignment horizontal="center"/>
    </xf>
    <xf numFmtId="38" fontId="0" fillId="0" borderId="0" xfId="0" applyNumberFormat="1"/>
    <xf numFmtId="0" fontId="7" fillId="0" borderId="27" xfId="0" applyFont="1" applyBorder="1"/>
    <xf numFmtId="38" fontId="7" fillId="9" borderId="26" xfId="0" applyNumberFormat="1" applyFont="1" applyFill="1" applyBorder="1" applyAlignment="1">
      <alignment horizontal="right"/>
    </xf>
    <xf numFmtId="38" fontId="7" fillId="0" borderId="0" xfId="0" applyNumberFormat="1" applyFont="1"/>
    <xf numFmtId="38" fontId="7" fillId="5" borderId="26" xfId="0" applyNumberFormat="1" applyFont="1" applyFill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6" borderId="26" xfId="0" applyNumberFormat="1" applyFont="1" applyFill="1" applyBorder="1" applyAlignment="1">
      <alignment horizontal="right"/>
    </xf>
    <xf numFmtId="38" fontId="7" fillId="7" borderId="26" xfId="0" applyNumberFormat="1" applyFont="1" applyFill="1" applyBorder="1" applyAlignment="1">
      <alignment horizontal="right"/>
    </xf>
    <xf numFmtId="38" fontId="7" fillId="0" borderId="26" xfId="0" applyNumberFormat="1" applyFont="1" applyBorder="1" applyAlignment="1">
      <alignment horizontal="right"/>
    </xf>
    <xf numFmtId="38" fontId="7" fillId="0" borderId="31" xfId="0" applyNumberFormat="1" applyFont="1" applyBorder="1" applyAlignment="1">
      <alignment horizontal="right"/>
    </xf>
    <xf numFmtId="0" fontId="7" fillId="0" borderId="0" xfId="0" applyFont="1"/>
    <xf numFmtId="0" fontId="10" fillId="0" borderId="0" xfId="0" applyFont="1"/>
    <xf numFmtId="1" fontId="7" fillId="0" borderId="32" xfId="0" applyNumberFormat="1" applyFont="1" applyBorder="1" applyAlignment="1">
      <alignment horizontal="left"/>
    </xf>
    <xf numFmtId="165" fontId="7" fillId="0" borderId="0" xfId="1" applyNumberFormat="1" applyFont="1"/>
    <xf numFmtId="165" fontId="7" fillId="5" borderId="26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7" fillId="6" borderId="26" xfId="1" applyNumberFormat="1" applyFont="1" applyFill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7" fillId="7" borderId="26" xfId="1" applyNumberFormat="1" applyFont="1" applyFill="1" applyBorder="1" applyAlignment="1">
      <alignment horizontal="right"/>
    </xf>
    <xf numFmtId="38" fontId="7" fillId="0" borderId="26" xfId="1" applyNumberFormat="1" applyFont="1" applyBorder="1" applyAlignment="1">
      <alignment horizontal="right"/>
    </xf>
    <xf numFmtId="1" fontId="7" fillId="0" borderId="32" xfId="0" applyNumberFormat="1" applyFont="1" applyBorder="1" applyAlignment="1">
      <alignment horizontal="right"/>
    </xf>
    <xf numFmtId="38" fontId="7" fillId="0" borderId="0" xfId="0" applyNumberFormat="1" applyFont="1" applyFill="1" applyBorder="1" applyAlignment="1">
      <alignment horizontal="right"/>
    </xf>
    <xf numFmtId="166" fontId="7" fillId="0" borderId="0" xfId="2" applyNumberFormat="1" applyFont="1"/>
    <xf numFmtId="166" fontId="7" fillId="0" borderId="0" xfId="2" applyNumberFormat="1" applyFont="1" applyFill="1" applyBorder="1" applyAlignment="1">
      <alignment horizontal="right"/>
    </xf>
    <xf numFmtId="166" fontId="7" fillId="6" borderId="26" xfId="2" applyNumberFormat="1" applyFont="1" applyFill="1" applyBorder="1" applyAlignment="1">
      <alignment horizontal="right"/>
    </xf>
    <xf numFmtId="166" fontId="7" fillId="0" borderId="0" xfId="2" applyNumberFormat="1" applyFont="1" applyBorder="1" applyAlignment="1">
      <alignment horizontal="right"/>
    </xf>
    <xf numFmtId="166" fontId="7" fillId="7" borderId="26" xfId="2" applyNumberFormat="1" applyFont="1" applyFill="1" applyBorder="1" applyAlignment="1">
      <alignment horizontal="right"/>
    </xf>
    <xf numFmtId="0" fontId="7" fillId="0" borderId="32" xfId="0" applyFont="1" applyBorder="1" applyAlignment="1">
      <alignment horizontal="right"/>
    </xf>
    <xf numFmtId="38" fontId="7" fillId="0" borderId="26" xfId="0" applyNumberFormat="1" applyFont="1" applyFill="1" applyBorder="1" applyAlignment="1">
      <alignment horizontal="right"/>
    </xf>
    <xf numFmtId="0" fontId="7" fillId="0" borderId="31" xfId="0" applyFont="1" applyBorder="1"/>
    <xf numFmtId="0" fontId="7" fillId="0" borderId="33" xfId="0" applyFont="1" applyBorder="1" applyAlignment="1">
      <alignment horizontal="left"/>
    </xf>
    <xf numFmtId="0" fontId="7" fillId="0" borderId="33" xfId="0" applyFont="1" applyBorder="1"/>
    <xf numFmtId="0" fontId="7" fillId="0" borderId="26" xfId="0" applyFont="1" applyBorder="1" applyAlignment="1">
      <alignment horizontal="left"/>
    </xf>
    <xf numFmtId="38" fontId="7" fillId="0" borderId="0" xfId="0" applyNumberFormat="1" applyFont="1" applyFill="1"/>
    <xf numFmtId="0" fontId="7" fillId="0" borderId="33" xfId="0" applyFont="1" applyBorder="1" applyAlignment="1">
      <alignment horizontal="right"/>
    </xf>
    <xf numFmtId="38" fontId="7" fillId="9" borderId="0" xfId="0" applyNumberFormat="1" applyFont="1" applyFill="1" applyAlignment="1">
      <alignment horizontal="right"/>
    </xf>
    <xf numFmtId="38" fontId="7" fillId="9" borderId="34" xfId="0" applyNumberFormat="1" applyFont="1" applyFill="1" applyBorder="1" applyAlignment="1">
      <alignment horizontal="right"/>
    </xf>
    <xf numFmtId="38" fontId="7" fillId="5" borderId="34" xfId="0" applyNumberFormat="1" applyFont="1" applyFill="1" applyBorder="1" applyAlignment="1">
      <alignment horizontal="right"/>
    </xf>
    <xf numFmtId="38" fontId="7" fillId="6" borderId="34" xfId="0" applyNumberFormat="1" applyFont="1" applyFill="1" applyBorder="1" applyAlignment="1">
      <alignment horizontal="right"/>
    </xf>
    <xf numFmtId="38" fontId="7" fillId="7" borderId="34" xfId="0" applyNumberFormat="1" applyFont="1" applyFill="1" applyBorder="1" applyAlignment="1">
      <alignment horizontal="right"/>
    </xf>
    <xf numFmtId="38" fontId="7" fillId="0" borderId="35" xfId="0" applyNumberFormat="1" applyFont="1" applyBorder="1" applyAlignment="1">
      <alignment horizontal="right"/>
    </xf>
    <xf numFmtId="0" fontId="7" fillId="0" borderId="23" xfId="0" applyFont="1" applyBorder="1"/>
    <xf numFmtId="0" fontId="7" fillId="0" borderId="26" xfId="0" applyFont="1" applyFill="1" applyBorder="1"/>
    <xf numFmtId="38" fontId="7" fillId="9" borderId="23" xfId="0" applyNumberFormat="1" applyFont="1" applyFill="1" applyBorder="1" applyAlignment="1">
      <alignment horizontal="right"/>
    </xf>
    <xf numFmtId="38" fontId="7" fillId="5" borderId="23" xfId="0" applyNumberFormat="1" applyFont="1" applyFill="1" applyBorder="1" applyAlignment="1">
      <alignment horizontal="right"/>
    </xf>
    <xf numFmtId="38" fontId="7" fillId="6" borderId="23" xfId="0" applyNumberFormat="1" applyFont="1" applyFill="1" applyBorder="1" applyAlignment="1">
      <alignment horizontal="right"/>
    </xf>
    <xf numFmtId="38" fontId="7" fillId="7" borderId="23" xfId="0" applyNumberFormat="1" applyFont="1" applyFill="1" applyBorder="1" applyAlignment="1">
      <alignment horizontal="right"/>
    </xf>
    <xf numFmtId="38" fontId="7" fillId="0" borderId="23" xfId="0" applyNumberFormat="1" applyFont="1" applyFill="1" applyBorder="1" applyAlignment="1">
      <alignment horizontal="right"/>
    </xf>
    <xf numFmtId="167" fontId="7" fillId="11" borderId="33" xfId="0" applyNumberFormat="1" applyFont="1" applyFill="1" applyBorder="1" applyAlignment="1">
      <alignment horizontal="left"/>
    </xf>
    <xf numFmtId="0" fontId="7" fillId="11" borderId="26" xfId="0" applyFont="1" applyFill="1" applyBorder="1"/>
    <xf numFmtId="38" fontId="7" fillId="11" borderId="23" xfId="0" applyNumberFormat="1" applyFont="1" applyFill="1" applyBorder="1" applyAlignment="1">
      <alignment horizontal="right"/>
    </xf>
    <xf numFmtId="38" fontId="7" fillId="11" borderId="26" xfId="0" applyNumberFormat="1" applyFont="1" applyFill="1" applyBorder="1" applyAlignment="1">
      <alignment horizontal="right"/>
    </xf>
    <xf numFmtId="38" fontId="7" fillId="11" borderId="0" xfId="0" applyNumberFormat="1" applyFont="1" applyFill="1" applyBorder="1" applyAlignment="1">
      <alignment horizontal="right"/>
    </xf>
    <xf numFmtId="38" fontId="7" fillId="11" borderId="31" xfId="0" applyNumberFormat="1" applyFont="1" applyFill="1" applyBorder="1" applyAlignment="1">
      <alignment horizontal="right"/>
    </xf>
    <xf numFmtId="38" fontId="10" fillId="0" borderId="0" xfId="0" applyNumberFormat="1" applyFont="1"/>
    <xf numFmtId="38" fontId="7" fillId="9" borderId="36" xfId="0" applyNumberFormat="1" applyFont="1" applyFill="1" applyBorder="1" applyAlignment="1">
      <alignment horizontal="right"/>
    </xf>
    <xf numFmtId="38" fontId="7" fillId="5" borderId="36" xfId="0" applyNumberFormat="1" applyFont="1" applyFill="1" applyBorder="1" applyAlignment="1">
      <alignment horizontal="right"/>
    </xf>
    <xf numFmtId="38" fontId="7" fillId="6" borderId="36" xfId="0" applyNumberFormat="1" applyFont="1" applyFill="1" applyBorder="1" applyAlignment="1">
      <alignment horizontal="right"/>
    </xf>
    <xf numFmtId="38" fontId="7" fillId="7" borderId="36" xfId="0" applyNumberFormat="1" applyFont="1" applyFill="1" applyBorder="1" applyAlignment="1">
      <alignment horizontal="right"/>
    </xf>
    <xf numFmtId="38" fontId="7" fillId="0" borderId="37" xfId="0" applyNumberFormat="1" applyFont="1" applyBorder="1" applyAlignment="1">
      <alignment horizontal="right"/>
    </xf>
    <xf numFmtId="166" fontId="7" fillId="9" borderId="26" xfId="2" applyNumberFormat="1" applyFont="1" applyFill="1" applyBorder="1" applyAlignment="1">
      <alignment horizontal="right"/>
    </xf>
    <xf numFmtId="0" fontId="7" fillId="5" borderId="26" xfId="0" applyFont="1" applyFill="1" applyBorder="1"/>
    <xf numFmtId="0" fontId="7" fillId="0" borderId="33" xfId="0" applyFont="1" applyBorder="1" applyAlignment="1"/>
    <xf numFmtId="38" fontId="7" fillId="0" borderId="23" xfId="0" applyNumberFormat="1" applyFont="1" applyBorder="1" applyAlignment="1">
      <alignment horizontal="right"/>
    </xf>
    <xf numFmtId="166" fontId="7" fillId="9" borderId="23" xfId="2" applyNumberFormat="1" applyFont="1" applyFill="1" applyBorder="1"/>
    <xf numFmtId="1" fontId="7" fillId="0" borderId="7" xfId="0" applyNumberFormat="1" applyFont="1" applyBorder="1" applyAlignment="1">
      <alignment horizontal="right"/>
    </xf>
    <xf numFmtId="166" fontId="7" fillId="9" borderId="23" xfId="2" applyNumberFormat="1" applyFont="1" applyFill="1" applyBorder="1" applyAlignment="1">
      <alignment horizontal="right"/>
    </xf>
    <xf numFmtId="0" fontId="7" fillId="11" borderId="30" xfId="0" applyFont="1" applyFill="1" applyBorder="1" applyAlignment="1">
      <alignment horizontal="left"/>
    </xf>
    <xf numFmtId="0" fontId="7" fillId="11" borderId="27" xfId="0" applyFont="1" applyFill="1" applyBorder="1"/>
    <xf numFmtId="166" fontId="7" fillId="11" borderId="23" xfId="2" applyNumberFormat="1" applyFont="1" applyFill="1" applyBorder="1" applyAlignment="1">
      <alignment horizontal="right"/>
    </xf>
    <xf numFmtId="0" fontId="7" fillId="0" borderId="38" xfId="0" applyFont="1" applyBorder="1"/>
    <xf numFmtId="0" fontId="7" fillId="2" borderId="39" xfId="0" applyFont="1" applyFill="1" applyBorder="1"/>
    <xf numFmtId="0" fontId="7" fillId="2" borderId="40" xfId="0" applyFont="1" applyFill="1" applyBorder="1"/>
    <xf numFmtId="166" fontId="7" fillId="0" borderId="41" xfId="2" applyNumberFormat="1" applyFont="1" applyFill="1" applyBorder="1" applyAlignment="1">
      <alignment horizontal="right"/>
    </xf>
    <xf numFmtId="165" fontId="12" fillId="2" borderId="26" xfId="1" applyNumberFormat="1" applyFont="1" applyFill="1" applyBorder="1" applyAlignment="1">
      <alignment horizontal="right"/>
    </xf>
    <xf numFmtId="38" fontId="11" fillId="0" borderId="41" xfId="0" applyNumberFormat="1" applyFont="1" applyFill="1" applyBorder="1" applyAlignment="1">
      <alignment horizontal="right"/>
    </xf>
    <xf numFmtId="38" fontId="12" fillId="0" borderId="0" xfId="0" applyNumberFormat="1" applyFont="1" applyBorder="1" applyAlignment="1">
      <alignment horizontal="right"/>
    </xf>
    <xf numFmtId="166" fontId="12" fillId="0" borderId="0" xfId="2" applyNumberFormat="1" applyFont="1" applyBorder="1" applyAlignment="1">
      <alignment horizontal="right"/>
    </xf>
    <xf numFmtId="166" fontId="11" fillId="0" borderId="41" xfId="2" applyNumberFormat="1" applyFont="1" applyFill="1" applyBorder="1" applyAlignment="1">
      <alignment horizontal="right"/>
    </xf>
    <xf numFmtId="6" fontId="12" fillId="2" borderId="26" xfId="2" applyNumberFormat="1" applyFont="1" applyFill="1" applyBorder="1" applyAlignment="1">
      <alignment horizontal="right"/>
    </xf>
    <xf numFmtId="166" fontId="7" fillId="0" borderId="28" xfId="2" applyNumberFormat="1" applyFont="1" applyFill="1" applyBorder="1" applyAlignment="1">
      <alignment horizontal="right"/>
    </xf>
    <xf numFmtId="38" fontId="11" fillId="0" borderId="42" xfId="0" applyNumberFormat="1" applyFont="1" applyFill="1" applyBorder="1" applyAlignment="1">
      <alignment horizontal="right"/>
    </xf>
    <xf numFmtId="166" fontId="11" fillId="0" borderId="42" xfId="2" applyNumberFormat="1" applyFont="1" applyFill="1" applyBorder="1" applyAlignment="1">
      <alignment horizontal="right"/>
    </xf>
    <xf numFmtId="166" fontId="11" fillId="7" borderId="41" xfId="2" applyNumberFormat="1" applyFont="1" applyFill="1" applyBorder="1" applyAlignment="1">
      <alignment horizontal="right"/>
    </xf>
    <xf numFmtId="38" fontId="7" fillId="0" borderId="41" xfId="0" applyNumberFormat="1" applyFont="1" applyFill="1" applyBorder="1" applyAlignment="1">
      <alignment horizontal="right"/>
    </xf>
    <xf numFmtId="166" fontId="7" fillId="0" borderId="36" xfId="2" applyNumberFormat="1" applyFont="1" applyFill="1" applyBorder="1" applyAlignment="1">
      <alignment horizontal="right"/>
    </xf>
    <xf numFmtId="38" fontId="7" fillId="9" borderId="21" xfId="0" applyNumberFormat="1" applyFont="1" applyFill="1" applyBorder="1" applyAlignment="1">
      <alignment horizontal="right"/>
    </xf>
    <xf numFmtId="38" fontId="11" fillId="0" borderId="21" xfId="0" applyNumberFormat="1" applyFont="1" applyFill="1" applyBorder="1" applyAlignment="1">
      <alignment horizontal="right"/>
    </xf>
    <xf numFmtId="38" fontId="7" fillId="0" borderId="21" xfId="0" applyNumberFormat="1" applyFont="1" applyFill="1" applyBorder="1" applyAlignment="1">
      <alignment horizontal="right"/>
    </xf>
    <xf numFmtId="38" fontId="7" fillId="0" borderId="15" xfId="0" applyNumberFormat="1" applyFont="1" applyBorder="1" applyAlignment="1">
      <alignment horizontal="right"/>
    </xf>
    <xf numFmtId="0" fontId="7" fillId="2" borderId="33" xfId="0" applyFont="1" applyFill="1" applyBorder="1"/>
    <xf numFmtId="0" fontId="7" fillId="2" borderId="23" xfId="0" applyFont="1" applyFill="1" applyBorder="1"/>
    <xf numFmtId="166" fontId="7" fillId="0" borderId="28" xfId="2" applyNumberFormat="1" applyFont="1" applyBorder="1" applyAlignment="1">
      <alignment horizontal="right"/>
    </xf>
    <xf numFmtId="38" fontId="7" fillId="0" borderId="42" xfId="0" applyNumberFormat="1" applyFont="1" applyBorder="1" applyAlignment="1">
      <alignment horizontal="right"/>
    </xf>
    <xf numFmtId="0" fontId="7" fillId="0" borderId="0" xfId="0" applyFont="1" applyBorder="1"/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6" fontId="7" fillId="0" borderId="0" xfId="0" applyNumberFormat="1" applyFont="1" applyFill="1"/>
    <xf numFmtId="6" fontId="7" fillId="0" borderId="0" xfId="0" applyNumberFormat="1" applyFont="1" applyFill="1" applyBorder="1" applyAlignment="1">
      <alignment horizontal="right"/>
    </xf>
    <xf numFmtId="38" fontId="10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center"/>
    </xf>
    <xf numFmtId="0" fontId="7" fillId="0" borderId="0" xfId="0" applyFont="1" applyFill="1" applyBorder="1"/>
    <xf numFmtId="38" fontId="0" fillId="0" borderId="0" xfId="0" applyNumberFormat="1" applyAlignment="1">
      <alignment horizontal="right"/>
    </xf>
    <xf numFmtId="168" fontId="7" fillId="0" borderId="0" xfId="0" applyNumberFormat="1" applyFont="1" applyBorder="1"/>
    <xf numFmtId="168" fontId="7" fillId="0" borderId="0" xfId="0" applyNumberFormat="1" applyFont="1"/>
    <xf numFmtId="166" fontId="10" fillId="0" borderId="0" xfId="2" applyNumberFormat="1" applyFont="1" applyAlignment="1">
      <alignment horizontal="right"/>
    </xf>
    <xf numFmtId="0" fontId="9" fillId="0" borderId="0" xfId="0" applyFont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16" xfId="0" applyFont="1" applyBorder="1"/>
    <xf numFmtId="49" fontId="14" fillId="0" borderId="6" xfId="3" quotePrefix="1" applyNumberFormat="1" applyFont="1" applyBorder="1" applyAlignment="1">
      <alignment horizontal="center"/>
    </xf>
    <xf numFmtId="0" fontId="0" fillId="0" borderId="0" xfId="0" applyFill="1"/>
    <xf numFmtId="38" fontId="7" fillId="0" borderId="39" xfId="0" applyNumberFormat="1" applyFont="1" applyFill="1" applyBorder="1" applyAlignment="1">
      <alignment horizontal="center"/>
    </xf>
    <xf numFmtId="0" fontId="7" fillId="0" borderId="29" xfId="0" applyFont="1" applyBorder="1"/>
    <xf numFmtId="38" fontId="10" fillId="0" borderId="29" xfId="3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167" fontId="10" fillId="10" borderId="33" xfId="0" applyNumberFormat="1" applyFont="1" applyFill="1" applyBorder="1" applyAlignment="1">
      <alignment horizontal="right"/>
    </xf>
    <xf numFmtId="167" fontId="7" fillId="2" borderId="31" xfId="0" applyNumberFormat="1" applyFont="1" applyFill="1" applyBorder="1" applyAlignment="1">
      <alignment horizontal="right"/>
    </xf>
    <xf numFmtId="167" fontId="10" fillId="0" borderId="33" xfId="0" applyNumberFormat="1" applyFont="1" applyFill="1" applyBorder="1" applyAlignment="1">
      <alignment horizontal="right"/>
    </xf>
    <xf numFmtId="167" fontId="7" fillId="0" borderId="31" xfId="0" applyNumberFormat="1" applyFont="1" applyFill="1" applyBorder="1" applyAlignment="1">
      <alignment horizontal="right"/>
    </xf>
    <xf numFmtId="166" fontId="10" fillId="0" borderId="33" xfId="2" applyNumberFormat="1" applyFont="1" applyFill="1" applyBorder="1"/>
    <xf numFmtId="166" fontId="7" fillId="2" borderId="31" xfId="2" applyNumberFormat="1" applyFont="1" applyFill="1" applyBorder="1"/>
    <xf numFmtId="166" fontId="10" fillId="0" borderId="33" xfId="2" applyNumberFormat="1" applyFont="1" applyFill="1" applyBorder="1" applyAlignment="1">
      <alignment horizontal="right"/>
    </xf>
    <xf numFmtId="166" fontId="10" fillId="0" borderId="31" xfId="2" applyNumberFormat="1" applyFont="1" applyFill="1" applyBorder="1" applyAlignment="1">
      <alignment horizontal="right"/>
    </xf>
    <xf numFmtId="166" fontId="7" fillId="2" borderId="31" xfId="2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33" xfId="0" applyFont="1" applyFill="1" applyBorder="1" applyAlignment="1">
      <alignment horizontal="right"/>
    </xf>
    <xf numFmtId="166" fontId="10" fillId="0" borderId="35" xfId="2" applyNumberFormat="1" applyFont="1" applyFill="1" applyBorder="1" applyAlignment="1">
      <alignment horizontal="right"/>
    </xf>
    <xf numFmtId="0" fontId="7" fillId="12" borderId="33" xfId="0" applyFont="1" applyFill="1" applyBorder="1" applyAlignment="1">
      <alignment horizontal="right"/>
    </xf>
    <xf numFmtId="0" fontId="7" fillId="12" borderId="31" xfId="0" applyFont="1" applyFill="1" applyBorder="1"/>
    <xf numFmtId="0" fontId="7" fillId="12" borderId="0" xfId="0" applyFont="1" applyFill="1" applyBorder="1"/>
    <xf numFmtId="0" fontId="7" fillId="11" borderId="31" xfId="0" applyFont="1" applyFill="1" applyBorder="1"/>
    <xf numFmtId="166" fontId="10" fillId="13" borderId="39" xfId="2" applyNumberFormat="1" applyFont="1" applyFill="1" applyBorder="1" applyAlignment="1">
      <alignment horizontal="right"/>
    </xf>
    <xf numFmtId="165" fontId="7" fillId="11" borderId="31" xfId="1" applyNumberFormat="1" applyFont="1" applyFill="1" applyBorder="1" applyAlignment="1">
      <alignment horizontal="right"/>
    </xf>
    <xf numFmtId="167" fontId="10" fillId="0" borderId="37" xfId="0" applyNumberFormat="1" applyFont="1" applyFill="1" applyBorder="1" applyAlignment="1">
      <alignment horizontal="right"/>
    </xf>
    <xf numFmtId="167" fontId="10" fillId="0" borderId="31" xfId="0" applyNumberFormat="1" applyFont="1" applyFill="1" applyBorder="1" applyAlignment="1">
      <alignment horizontal="right"/>
    </xf>
    <xf numFmtId="37" fontId="10" fillId="0" borderId="33" xfId="0" applyNumberFormat="1" applyFont="1" applyFill="1" applyBorder="1" applyAlignment="1">
      <alignment horizontal="right"/>
    </xf>
    <xf numFmtId="0" fontId="10" fillId="14" borderId="0" xfId="0" applyFont="1" applyFill="1"/>
    <xf numFmtId="166" fontId="10" fillId="0" borderId="39" xfId="2" applyNumberFormat="1" applyFont="1" applyFill="1" applyBorder="1"/>
    <xf numFmtId="1" fontId="7" fillId="0" borderId="33" xfId="0" applyNumberFormat="1" applyFont="1" applyBorder="1" applyAlignment="1">
      <alignment horizontal="right"/>
    </xf>
    <xf numFmtId="166" fontId="10" fillId="11" borderId="39" xfId="2" applyNumberFormat="1" applyFont="1" applyFill="1" applyBorder="1" applyAlignment="1">
      <alignment horizontal="right"/>
    </xf>
    <xf numFmtId="0" fontId="7" fillId="0" borderId="35" xfId="0" applyFont="1" applyBorder="1"/>
    <xf numFmtId="0" fontId="15" fillId="0" borderId="44" xfId="0" applyFont="1" applyFill="1" applyBorder="1"/>
    <xf numFmtId="0" fontId="15" fillId="0" borderId="0" xfId="0" applyFont="1" applyFill="1" applyBorder="1"/>
    <xf numFmtId="0" fontId="7" fillId="0" borderId="7" xfId="0" applyFont="1" applyBorder="1"/>
    <xf numFmtId="0" fontId="7" fillId="0" borderId="44" xfId="0" applyFont="1" applyBorder="1"/>
    <xf numFmtId="167" fontId="10" fillId="0" borderId="7" xfId="0" applyNumberFormat="1" applyFont="1" applyFill="1" applyBorder="1" applyAlignment="1">
      <alignment horizontal="right"/>
    </xf>
    <xf numFmtId="0" fontId="15" fillId="0" borderId="0" xfId="0" applyFont="1" applyBorder="1"/>
    <xf numFmtId="167" fontId="10" fillId="0" borderId="4" xfId="0" applyNumberFormat="1" applyFont="1" applyBorder="1" applyAlignment="1">
      <alignment horizontal="right"/>
    </xf>
    <xf numFmtId="167" fontId="16" fillId="0" borderId="44" xfId="0" applyNumberFormat="1" applyFont="1" applyBorder="1" applyAlignment="1">
      <alignment horizontal="right"/>
    </xf>
    <xf numFmtId="167" fontId="10" fillId="0" borderId="7" xfId="0" applyNumberFormat="1" applyFont="1" applyBorder="1" applyAlignment="1">
      <alignment horizontal="right"/>
    </xf>
    <xf numFmtId="167" fontId="10" fillId="0" borderId="8" xfId="0" applyNumberFormat="1" applyFont="1" applyBorder="1" applyAlignment="1">
      <alignment horizontal="right"/>
    </xf>
    <xf numFmtId="167" fontId="10" fillId="0" borderId="11" xfId="0" applyNumberFormat="1" applyFont="1" applyBorder="1" applyAlignment="1">
      <alignment horizontal="right"/>
    </xf>
    <xf numFmtId="0" fontId="7" fillId="0" borderId="13" xfId="2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7" fillId="0" borderId="31" xfId="0" applyFont="1" applyFill="1" applyBorder="1"/>
    <xf numFmtId="166" fontId="10" fillId="4" borderId="33" xfId="2" applyNumberFormat="1" applyFont="1" applyFill="1" applyBorder="1" applyAlignment="1">
      <alignment horizontal="right"/>
    </xf>
    <xf numFmtId="5" fontId="7" fillId="0" borderId="44" xfId="0" applyNumberFormat="1" applyFont="1" applyFill="1" applyBorder="1" applyAlignment="1">
      <alignment horizontal="right"/>
    </xf>
    <xf numFmtId="166" fontId="7" fillId="0" borderId="26" xfId="0" applyNumberFormat="1" applyFont="1" applyBorder="1"/>
    <xf numFmtId="38" fontId="10" fillId="0" borderId="0" xfId="0" applyNumberFormat="1" applyFont="1" applyFill="1" applyBorder="1"/>
    <xf numFmtId="0" fontId="4" fillId="16" borderId="2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38" fontId="7" fillId="7" borderId="33" xfId="0" applyNumberFormat="1" applyFont="1" applyFill="1" applyBorder="1" applyAlignment="1">
      <alignment horizontal="right"/>
    </xf>
    <xf numFmtId="166" fontId="7" fillId="7" borderId="33" xfId="2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0" fillId="0" borderId="2" xfId="0" applyBorder="1"/>
    <xf numFmtId="0" fontId="0" fillId="0" borderId="8" xfId="0" applyBorder="1"/>
    <xf numFmtId="0" fontId="6" fillId="0" borderId="2" xfId="0" applyFont="1" applyBorder="1" applyAlignment="1">
      <alignment horizontal="center"/>
    </xf>
    <xf numFmtId="38" fontId="7" fillId="0" borderId="47" xfId="0" applyNumberFormat="1" applyFont="1" applyFill="1" applyBorder="1" applyAlignment="1">
      <alignment horizontal="center"/>
    </xf>
    <xf numFmtId="0" fontId="17" fillId="0" borderId="0" xfId="0" applyFont="1"/>
    <xf numFmtId="0" fontId="4" fillId="0" borderId="2" xfId="0" applyFont="1" applyFill="1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38" fontId="7" fillId="19" borderId="26" xfId="0" applyNumberFormat="1" applyFont="1" applyFill="1" applyBorder="1" applyAlignment="1">
      <alignment horizontal="right"/>
    </xf>
    <xf numFmtId="0" fontId="7" fillId="0" borderId="23" xfId="0" applyFont="1" applyFill="1" applyBorder="1"/>
    <xf numFmtId="38" fontId="11" fillId="6" borderId="23" xfId="0" applyNumberFormat="1" applyFont="1" applyFill="1" applyBorder="1" applyAlignment="1">
      <alignment horizontal="right"/>
    </xf>
    <xf numFmtId="38" fontId="7" fillId="0" borderId="26" xfId="0" applyNumberFormat="1" applyFont="1" applyBorder="1"/>
    <xf numFmtId="0" fontId="11" fillId="0" borderId="0" xfId="3" applyNumberFormat="1" applyFont="1" applyBorder="1" applyAlignment="1">
      <alignment horizontal="center"/>
    </xf>
    <xf numFmtId="0" fontId="18" fillId="0" borderId="0" xfId="0" applyFont="1" applyBorder="1"/>
    <xf numFmtId="168" fontId="19" fillId="0" borderId="0" xfId="0" applyNumberFormat="1" applyFont="1"/>
    <xf numFmtId="38" fontId="15" fillId="0" borderId="0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6" fontId="3" fillId="19" borderId="48" xfId="0" applyNumberFormat="1" applyFont="1" applyFill="1" applyBorder="1" applyAlignment="1">
      <alignment horizontal="center"/>
    </xf>
    <xf numFmtId="0" fontId="20" fillId="0" borderId="0" xfId="0" applyFont="1" applyBorder="1"/>
    <xf numFmtId="0" fontId="7" fillId="18" borderId="31" xfId="0" applyFont="1" applyFill="1" applyBorder="1"/>
    <xf numFmtId="0" fontId="7" fillId="0" borderId="31" xfId="0" applyFont="1" applyFill="1" applyBorder="1" applyAlignment="1">
      <alignment horizontal="left"/>
    </xf>
    <xf numFmtId="38" fontId="12" fillId="0" borderId="45" xfId="0" applyNumberFormat="1" applyFont="1" applyBorder="1" applyAlignment="1">
      <alignment horizontal="right"/>
    </xf>
    <xf numFmtId="0" fontId="7" fillId="0" borderId="8" xfId="0" applyFont="1" applyBorder="1"/>
    <xf numFmtId="38" fontId="7" fillId="7" borderId="35" xfId="0" applyNumberFormat="1" applyFont="1" applyFill="1" applyBorder="1" applyAlignment="1">
      <alignment horizontal="right"/>
    </xf>
    <xf numFmtId="38" fontId="7" fillId="7" borderId="24" xfId="0" applyNumberFormat="1" applyFont="1" applyFill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168" fontId="7" fillId="0" borderId="8" xfId="0" applyNumberFormat="1" applyFont="1" applyBorder="1"/>
    <xf numFmtId="0" fontId="15" fillId="0" borderId="8" xfId="0" applyFont="1" applyBorder="1"/>
    <xf numFmtId="0" fontId="7" fillId="0" borderId="8" xfId="0" applyFont="1" applyFill="1" applyBorder="1"/>
    <xf numFmtId="0" fontId="7" fillId="0" borderId="7" xfId="0" applyFont="1" applyBorder="1" applyAlignment="1">
      <alignment horizontal="right"/>
    </xf>
    <xf numFmtId="168" fontId="7" fillId="18" borderId="13" xfId="0" applyNumberFormat="1" applyFont="1" applyFill="1" applyBorder="1"/>
    <xf numFmtId="38" fontId="7" fillId="20" borderId="26" xfId="0" applyNumberFormat="1" applyFont="1" applyFill="1" applyBorder="1" applyAlignment="1">
      <alignment horizontal="right"/>
    </xf>
    <xf numFmtId="38" fontId="7" fillId="21" borderId="26" xfId="0" applyNumberFormat="1" applyFont="1" applyFill="1" applyBorder="1" applyAlignment="1">
      <alignment horizontal="right"/>
    </xf>
    <xf numFmtId="38" fontId="7" fillId="22" borderId="23" xfId="0" applyNumberFormat="1" applyFont="1" applyFill="1" applyBorder="1" applyAlignment="1">
      <alignment horizontal="right"/>
    </xf>
    <xf numFmtId="38" fontId="20" fillId="0" borderId="0" xfId="0" applyNumberFormat="1" applyFont="1" applyFill="1" applyAlignment="1">
      <alignment horizontal="left"/>
    </xf>
    <xf numFmtId="38" fontId="7" fillId="0" borderId="0" xfId="0" applyNumberFormat="1" applyFont="1" applyFill="1" applyAlignment="1">
      <alignment horizontal="right"/>
    </xf>
    <xf numFmtId="38" fontId="14" fillId="0" borderId="1" xfId="3" quotePrefix="1" applyNumberFormat="1" applyFont="1" applyBorder="1" applyAlignment="1">
      <alignment horizontal="center"/>
    </xf>
    <xf numFmtId="38" fontId="14" fillId="0" borderId="6" xfId="3" quotePrefix="1" applyNumberFormat="1" applyFont="1" applyBorder="1" applyAlignment="1">
      <alignment horizontal="center"/>
    </xf>
    <xf numFmtId="38" fontId="14" fillId="0" borderId="8" xfId="3" quotePrefix="1" applyNumberFormat="1" applyFont="1" applyFill="1" applyBorder="1" applyAlignment="1">
      <alignment horizontal="center"/>
    </xf>
    <xf numFmtId="38" fontId="7" fillId="0" borderId="7" xfId="0" applyNumberFormat="1" applyFont="1" applyFill="1" applyBorder="1" applyAlignment="1">
      <alignment horizontal="center"/>
    </xf>
    <xf numFmtId="0" fontId="7" fillId="22" borderId="30" xfId="0" applyFont="1" applyFill="1" applyBorder="1" applyAlignment="1">
      <alignment horizontal="left"/>
    </xf>
    <xf numFmtId="38" fontId="7" fillId="9" borderId="39" xfId="0" applyNumberFormat="1" applyFont="1" applyFill="1" applyBorder="1" applyAlignment="1">
      <alignment horizontal="center"/>
    </xf>
    <xf numFmtId="38" fontId="10" fillId="9" borderId="29" xfId="3" applyNumberFormat="1" applyFont="1" applyFill="1" applyBorder="1" applyAlignment="1">
      <alignment horizontal="center"/>
    </xf>
    <xf numFmtId="38" fontId="10" fillId="0" borderId="0" xfId="3" applyNumberFormat="1" applyFont="1" applyFill="1" applyBorder="1" applyAlignment="1">
      <alignment horizontal="center"/>
    </xf>
    <xf numFmtId="38" fontId="7" fillId="7" borderId="39" xfId="0" applyNumberFormat="1" applyFont="1" applyFill="1" applyBorder="1" applyAlignment="1">
      <alignment horizontal="center"/>
    </xf>
    <xf numFmtId="38" fontId="10" fillId="7" borderId="29" xfId="3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left"/>
    </xf>
    <xf numFmtId="38" fontId="7" fillId="9" borderId="33" xfId="0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7" fontId="10" fillId="7" borderId="33" xfId="0" applyNumberFormat="1" applyFont="1" applyFill="1" applyBorder="1" applyAlignment="1">
      <alignment horizontal="right"/>
    </xf>
    <xf numFmtId="38" fontId="7" fillId="0" borderId="33" xfId="0" applyNumberFormat="1" applyFont="1" applyFill="1" applyBorder="1" applyAlignment="1">
      <alignment horizontal="right"/>
    </xf>
    <xf numFmtId="38" fontId="7" fillId="9" borderId="31" xfId="0" applyNumberFormat="1" applyFont="1" applyFill="1" applyBorder="1" applyAlignment="1">
      <alignment horizontal="right"/>
    </xf>
    <xf numFmtId="167" fontId="7" fillId="7" borderId="31" xfId="0" applyNumberFormat="1" applyFont="1" applyFill="1" applyBorder="1" applyAlignment="1">
      <alignment horizontal="right"/>
    </xf>
    <xf numFmtId="38" fontId="7" fillId="0" borderId="31" xfId="0" applyNumberFormat="1" applyFont="1" applyFill="1" applyBorder="1" applyAlignment="1">
      <alignment horizontal="right"/>
    </xf>
    <xf numFmtId="38" fontId="7" fillId="9" borderId="33" xfId="2" applyNumberFormat="1" applyFont="1" applyFill="1" applyBorder="1"/>
    <xf numFmtId="166" fontId="7" fillId="0" borderId="42" xfId="2" applyNumberFormat="1" applyFont="1" applyFill="1" applyBorder="1"/>
    <xf numFmtId="166" fontId="10" fillId="7" borderId="33" xfId="2" applyNumberFormat="1" applyFont="1" applyFill="1" applyBorder="1"/>
    <xf numFmtId="38" fontId="7" fillId="0" borderId="33" xfId="2" applyNumberFormat="1" applyFont="1" applyFill="1" applyBorder="1"/>
    <xf numFmtId="38" fontId="7" fillId="2" borderId="31" xfId="2" applyNumberFormat="1" applyFont="1" applyFill="1" applyBorder="1"/>
    <xf numFmtId="38" fontId="10" fillId="9" borderId="31" xfId="2" applyNumberFormat="1" applyFont="1" applyFill="1" applyBorder="1" applyAlignment="1">
      <alignment horizontal="right"/>
    </xf>
    <xf numFmtId="38" fontId="10" fillId="0" borderId="0" xfId="2" applyNumberFormat="1" applyFont="1" applyFill="1" applyBorder="1" applyAlignment="1">
      <alignment horizontal="right"/>
    </xf>
    <xf numFmtId="166" fontId="10" fillId="7" borderId="33" xfId="2" applyNumberFormat="1" applyFont="1" applyFill="1" applyBorder="1" applyAlignment="1">
      <alignment horizontal="right"/>
    </xf>
    <xf numFmtId="166" fontId="10" fillId="7" borderId="31" xfId="2" applyNumberFormat="1" applyFont="1" applyFill="1" applyBorder="1" applyAlignment="1">
      <alignment horizontal="right"/>
    </xf>
    <xf numFmtId="38" fontId="7" fillId="0" borderId="33" xfId="2" applyNumberFormat="1" applyFont="1" applyFill="1" applyBorder="1" applyAlignment="1">
      <alignment horizontal="right"/>
    </xf>
    <xf numFmtId="38" fontId="10" fillId="0" borderId="31" xfId="2" applyNumberFormat="1" applyFont="1" applyFill="1" applyBorder="1" applyAlignment="1">
      <alignment horizontal="right"/>
    </xf>
    <xf numFmtId="38" fontId="7" fillId="9" borderId="33" xfId="2" applyNumberFormat="1" applyFont="1" applyFill="1" applyBorder="1" applyAlignment="1">
      <alignment horizontal="right"/>
    </xf>
    <xf numFmtId="38" fontId="7" fillId="2" borderId="31" xfId="2" applyNumberFormat="1" applyFont="1" applyFill="1" applyBorder="1" applyAlignment="1">
      <alignment horizontal="right"/>
    </xf>
    <xf numFmtId="38" fontId="7" fillId="0" borderId="0" xfId="2" applyNumberFormat="1" applyFont="1" applyFill="1" applyBorder="1" applyAlignment="1">
      <alignment horizontal="right"/>
    </xf>
    <xf numFmtId="38" fontId="7" fillId="0" borderId="0" xfId="0" applyNumberFormat="1" applyFont="1" applyBorder="1" applyAlignment="1">
      <alignment horizontal="left"/>
    </xf>
    <xf numFmtId="38" fontId="7" fillId="12" borderId="33" xfId="2" applyNumberFormat="1" applyFont="1" applyFill="1" applyBorder="1" applyAlignment="1">
      <alignment horizontal="right"/>
    </xf>
    <xf numFmtId="38" fontId="7" fillId="0" borderId="0" xfId="0" applyNumberFormat="1" applyFont="1" applyFill="1" applyBorder="1"/>
    <xf numFmtId="38" fontId="10" fillId="9" borderId="35" xfId="2" applyNumberFormat="1" applyFont="1" applyFill="1" applyBorder="1" applyAlignment="1">
      <alignment horizontal="right"/>
    </xf>
    <xf numFmtId="166" fontId="10" fillId="7" borderId="35" xfId="2" applyNumberFormat="1" applyFont="1" applyFill="1" applyBorder="1" applyAlignment="1">
      <alignment horizontal="right"/>
    </xf>
    <xf numFmtId="38" fontId="10" fillId="0" borderId="35" xfId="2" applyNumberFormat="1" applyFont="1" applyFill="1" applyBorder="1" applyAlignment="1">
      <alignment horizontal="right"/>
    </xf>
    <xf numFmtId="166" fontId="10" fillId="7" borderId="39" xfId="2" applyNumberFormat="1" applyFont="1" applyFill="1" applyBorder="1"/>
    <xf numFmtId="167" fontId="7" fillId="22" borderId="33" xfId="0" applyNumberFormat="1" applyFont="1" applyFill="1" applyBorder="1" applyAlignment="1">
      <alignment horizontal="left"/>
    </xf>
    <xf numFmtId="38" fontId="7" fillId="22" borderId="39" xfId="2" applyNumberFormat="1" applyFont="1" applyFill="1" applyBorder="1" applyAlignment="1">
      <alignment horizontal="right"/>
    </xf>
    <xf numFmtId="165" fontId="7" fillId="22" borderId="31" xfId="1" applyNumberFormat="1" applyFont="1" applyFill="1" applyBorder="1" applyAlignment="1">
      <alignment horizontal="right"/>
    </xf>
    <xf numFmtId="166" fontId="10" fillId="22" borderId="39" xfId="2" applyNumberFormat="1" applyFont="1" applyFill="1" applyBorder="1" applyAlignment="1">
      <alignment horizontal="right"/>
    </xf>
    <xf numFmtId="38" fontId="7" fillId="13" borderId="39" xfId="2" applyNumberFormat="1" applyFont="1" applyFill="1" applyBorder="1" applyAlignment="1">
      <alignment horizontal="right"/>
    </xf>
    <xf numFmtId="38" fontId="10" fillId="9" borderId="37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167" fontId="10" fillId="7" borderId="37" xfId="0" applyNumberFormat="1" applyFont="1" applyFill="1" applyBorder="1" applyAlignment="1">
      <alignment horizontal="right"/>
    </xf>
    <xf numFmtId="38" fontId="10" fillId="0" borderId="37" xfId="0" applyNumberFormat="1" applyFont="1" applyFill="1" applyBorder="1" applyAlignment="1">
      <alignment horizontal="right"/>
    </xf>
    <xf numFmtId="0" fontId="7" fillId="22" borderId="30" xfId="0" applyFont="1" applyFill="1" applyBorder="1"/>
    <xf numFmtId="38" fontId="10" fillId="9" borderId="31" xfId="0" applyNumberFormat="1" applyFont="1" applyFill="1" applyBorder="1" applyAlignment="1">
      <alignment horizontal="right"/>
    </xf>
    <xf numFmtId="167" fontId="10" fillId="7" borderId="31" xfId="0" applyNumberFormat="1" applyFont="1" applyFill="1" applyBorder="1" applyAlignment="1">
      <alignment horizontal="right"/>
    </xf>
    <xf numFmtId="38" fontId="10" fillId="0" borderId="31" xfId="0" applyNumberFormat="1" applyFont="1" applyFill="1" applyBorder="1" applyAlignment="1">
      <alignment horizontal="right"/>
    </xf>
    <xf numFmtId="38" fontId="7" fillId="0" borderId="39" xfId="2" applyNumberFormat="1" applyFont="1" applyFill="1" applyBorder="1"/>
    <xf numFmtId="0" fontId="7" fillId="0" borderId="33" xfId="0" applyFont="1" applyFill="1" applyBorder="1" applyAlignment="1">
      <alignment horizontal="left"/>
    </xf>
    <xf numFmtId="0" fontId="7" fillId="11" borderId="46" xfId="0" applyFont="1" applyFill="1" applyBorder="1" applyAlignment="1">
      <alignment horizontal="left"/>
    </xf>
    <xf numFmtId="0" fontId="7" fillId="11" borderId="49" xfId="0" applyFont="1" applyFill="1" applyBorder="1"/>
    <xf numFmtId="38" fontId="7" fillId="11" borderId="39" xfId="2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38" fontId="7" fillId="9" borderId="25" xfId="2" applyNumberFormat="1" applyFont="1" applyFill="1" applyBorder="1" applyAlignment="1">
      <alignment horizontal="right"/>
    </xf>
    <xf numFmtId="38" fontId="7" fillId="7" borderId="25" xfId="0" applyNumberFormat="1" applyFont="1" applyFill="1" applyBorder="1" applyAlignment="1">
      <alignment horizontal="right"/>
    </xf>
    <xf numFmtId="38" fontId="7" fillId="0" borderId="25" xfId="2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38" fontId="7" fillId="9" borderId="18" xfId="0" applyNumberFormat="1" applyFont="1" applyFill="1" applyBorder="1" applyAlignment="1">
      <alignment horizontal="right"/>
    </xf>
    <xf numFmtId="38" fontId="12" fillId="2" borderId="44" xfId="1" applyNumberFormat="1" applyFont="1" applyFill="1" applyBorder="1" applyAlignment="1">
      <alignment horizontal="right"/>
    </xf>
    <xf numFmtId="38" fontId="12" fillId="0" borderId="0" xfId="1" applyNumberFormat="1" applyFont="1" applyFill="1" applyBorder="1" applyAlignment="1">
      <alignment horizontal="right"/>
    </xf>
    <xf numFmtId="166" fontId="11" fillId="7" borderId="18" xfId="2" applyNumberFormat="1" applyFont="1" applyFill="1" applyBorder="1" applyAlignment="1">
      <alignment horizontal="right"/>
    </xf>
    <xf numFmtId="38" fontId="7" fillId="0" borderId="18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38" fontId="10" fillId="9" borderId="44" xfId="0" applyNumberFormat="1" applyFont="1" applyFill="1" applyBorder="1" applyAlignment="1">
      <alignment horizontal="right"/>
    </xf>
    <xf numFmtId="166" fontId="11" fillId="7" borderId="8" xfId="2" applyNumberFormat="1" applyFont="1" applyFill="1" applyBorder="1" applyAlignment="1">
      <alignment horizontal="right"/>
    </xf>
    <xf numFmtId="38" fontId="10" fillId="0" borderId="44" xfId="0" applyNumberFormat="1" applyFont="1" applyFill="1" applyBorder="1" applyAlignment="1">
      <alignment horizontal="right"/>
    </xf>
    <xf numFmtId="38" fontId="12" fillId="9" borderId="44" xfId="0" applyNumberFormat="1" applyFont="1" applyFill="1" applyBorder="1" applyAlignment="1">
      <alignment horizontal="right"/>
    </xf>
    <xf numFmtId="38" fontId="12" fillId="0" borderId="0" xfId="0" applyNumberFormat="1" applyFont="1" applyFill="1" applyBorder="1" applyAlignment="1">
      <alignment horizontal="right"/>
    </xf>
    <xf numFmtId="38" fontId="7" fillId="7" borderId="18" xfId="0" applyNumberFormat="1" applyFont="1" applyFill="1" applyBorder="1" applyAlignment="1">
      <alignment horizontal="right"/>
    </xf>
    <xf numFmtId="38" fontId="12" fillId="0" borderId="44" xfId="0" applyNumberFormat="1" applyFont="1" applyFill="1" applyBorder="1" applyAlignment="1">
      <alignment horizontal="right"/>
    </xf>
    <xf numFmtId="0" fontId="15" fillId="23" borderId="49" xfId="0" applyFont="1" applyFill="1" applyBorder="1"/>
    <xf numFmtId="38" fontId="7" fillId="9" borderId="7" xfId="0" applyNumberFormat="1" applyFont="1" applyFill="1" applyBorder="1" applyAlignment="1">
      <alignment horizontal="right"/>
    </xf>
    <xf numFmtId="165" fontId="12" fillId="2" borderId="45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6" fontId="12" fillId="2" borderId="45" xfId="0" applyNumberFormat="1" applyFont="1" applyFill="1" applyBorder="1" applyAlignment="1">
      <alignment horizontal="right"/>
    </xf>
    <xf numFmtId="38" fontId="7" fillId="0" borderId="7" xfId="0" applyNumberFormat="1" applyFont="1" applyFill="1" applyBorder="1" applyAlignment="1">
      <alignment horizontal="right"/>
    </xf>
    <xf numFmtId="38" fontId="16" fillId="9" borderId="44" xfId="0" applyNumberFormat="1" applyFont="1" applyFill="1" applyBorder="1" applyAlignment="1">
      <alignment horizontal="right"/>
    </xf>
    <xf numFmtId="38" fontId="16" fillId="0" borderId="0" xfId="0" applyNumberFormat="1" applyFont="1" applyFill="1" applyBorder="1" applyAlignment="1">
      <alignment horizontal="right"/>
    </xf>
    <xf numFmtId="38" fontId="16" fillId="0" borderId="44" xfId="0" applyNumberFormat="1" applyFont="1" applyBorder="1" applyAlignment="1">
      <alignment horizontal="right"/>
    </xf>
    <xf numFmtId="0" fontId="7" fillId="3" borderId="7" xfId="0" applyFont="1" applyFill="1" applyBorder="1" applyAlignment="1">
      <alignment horizontal="left"/>
    </xf>
    <xf numFmtId="38" fontId="12" fillId="9" borderId="44" xfId="1" applyNumberFormat="1" applyFont="1" applyFill="1" applyBorder="1" applyAlignment="1">
      <alignment horizontal="right"/>
    </xf>
    <xf numFmtId="167" fontId="10" fillId="7" borderId="7" xfId="0" applyNumberFormat="1" applyFont="1" applyFill="1" applyBorder="1" applyAlignment="1">
      <alignment horizontal="right"/>
    </xf>
    <xf numFmtId="38" fontId="12" fillId="0" borderId="44" xfId="1" applyNumberFormat="1" applyFont="1" applyFill="1" applyBorder="1" applyAlignment="1">
      <alignment horizontal="right"/>
    </xf>
    <xf numFmtId="38" fontId="7" fillId="0" borderId="7" xfId="0" applyNumberFormat="1" applyFont="1" applyBorder="1" applyAlignment="1">
      <alignment horizontal="right"/>
    </xf>
    <xf numFmtId="38" fontId="10" fillId="9" borderId="8" xfId="0" applyNumberFormat="1" applyFont="1" applyFill="1" applyBorder="1" applyAlignment="1">
      <alignment horizontal="right"/>
    </xf>
    <xf numFmtId="167" fontId="10" fillId="7" borderId="8" xfId="0" applyNumberFormat="1" applyFont="1" applyFill="1" applyBorder="1" applyAlignment="1">
      <alignment horizontal="right"/>
    </xf>
    <xf numFmtId="38" fontId="10" fillId="0" borderId="8" xfId="0" applyNumberFormat="1" applyFont="1" applyBorder="1" applyAlignment="1">
      <alignment horizontal="right"/>
    </xf>
    <xf numFmtId="0" fontId="9" fillId="18" borderId="11" xfId="0" applyFont="1" applyFill="1" applyBorder="1" applyAlignment="1">
      <alignment horizontal="center"/>
    </xf>
    <xf numFmtId="38" fontId="7" fillId="9" borderId="11" xfId="0" applyNumberFormat="1" applyFont="1" applyFill="1" applyBorder="1" applyAlignment="1">
      <alignment horizontal="right"/>
    </xf>
    <xf numFmtId="38" fontId="7" fillId="9" borderId="13" xfId="2" applyNumberFormat="1" applyFont="1" applyFill="1" applyBorder="1" applyAlignment="1">
      <alignment horizontal="center"/>
    </xf>
    <xf numFmtId="38" fontId="7" fillId="0" borderId="0" xfId="2" applyNumberFormat="1" applyFont="1" applyFill="1" applyBorder="1" applyAlignment="1">
      <alignment horizontal="center"/>
    </xf>
    <xf numFmtId="167" fontId="10" fillId="7" borderId="11" xfId="0" applyNumberFormat="1" applyFont="1" applyFill="1" applyBorder="1" applyAlignment="1">
      <alignment horizontal="right"/>
    </xf>
    <xf numFmtId="0" fontId="7" fillId="7" borderId="13" xfId="2" applyNumberFormat="1" applyFont="1" applyFill="1" applyBorder="1" applyAlignment="1">
      <alignment horizontal="center"/>
    </xf>
    <xf numFmtId="38" fontId="7" fillId="0" borderId="11" xfId="0" applyNumberFormat="1" applyFont="1" applyBorder="1" applyAlignment="1">
      <alignment horizontal="right"/>
    </xf>
    <xf numFmtId="38" fontId="7" fillId="0" borderId="13" xfId="2" applyNumberFormat="1" applyFont="1" applyBorder="1" applyAlignment="1">
      <alignment horizontal="center"/>
    </xf>
    <xf numFmtId="38" fontId="10" fillId="0" borderId="0" xfId="0" applyNumberFormat="1" applyFont="1" applyBorder="1" applyAlignment="1">
      <alignment horizontal="right"/>
    </xf>
    <xf numFmtId="38" fontId="7" fillId="0" borderId="0" xfId="0" applyNumberFormat="1" applyFont="1" applyAlignment="1">
      <alignment horizontal="right"/>
    </xf>
    <xf numFmtId="38" fontId="20" fillId="0" borderId="0" xfId="0" applyNumberFormat="1" applyFont="1" applyAlignment="1">
      <alignment horizontal="right"/>
    </xf>
    <xf numFmtId="167" fontId="0" fillId="0" borderId="0" xfId="0" applyNumberFormat="1" applyFill="1" applyAlignment="1">
      <alignment horizontal="right"/>
    </xf>
    <xf numFmtId="167" fontId="10" fillId="0" borderId="0" xfId="0" applyNumberFormat="1" applyFont="1" applyFill="1" applyAlignment="1">
      <alignment horizontal="right"/>
    </xf>
    <xf numFmtId="165" fontId="7" fillId="9" borderId="31" xfId="1" applyNumberFormat="1" applyFont="1" applyFill="1" applyBorder="1" applyAlignment="1">
      <alignment horizontal="right"/>
    </xf>
    <xf numFmtId="38" fontId="7" fillId="9" borderId="31" xfId="2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left"/>
    </xf>
    <xf numFmtId="49" fontId="14" fillId="0" borderId="1" xfId="3" quotePrefix="1" applyNumberFormat="1" applyFont="1" applyBorder="1" applyAlignment="1">
      <alignment horizontal="center"/>
    </xf>
    <xf numFmtId="49" fontId="14" fillId="0" borderId="5" xfId="3" quotePrefix="1" applyNumberFormat="1" applyFont="1" applyFill="1" applyBorder="1" applyAlignment="1">
      <alignment horizontal="center"/>
    </xf>
    <xf numFmtId="49" fontId="14" fillId="12" borderId="0" xfId="3" quotePrefix="1" applyNumberFormat="1" applyFont="1" applyFill="1" applyBorder="1" applyAlignment="1">
      <alignment horizontal="center"/>
    </xf>
    <xf numFmtId="38" fontId="7" fillId="0" borderId="3" xfId="0" applyNumberFormat="1" applyFont="1" applyFill="1" applyBorder="1" applyAlignment="1">
      <alignment horizontal="center"/>
    </xf>
    <xf numFmtId="166" fontId="7" fillId="0" borderId="7" xfId="2" applyNumberFormat="1" applyFont="1" applyFill="1" applyBorder="1" applyAlignment="1">
      <alignment horizontal="center"/>
    </xf>
    <xf numFmtId="38" fontId="7" fillId="12" borderId="7" xfId="0" applyNumberFormat="1" applyFont="1" applyFill="1" applyBorder="1" applyAlignment="1">
      <alignment horizontal="center"/>
    </xf>
    <xf numFmtId="0" fontId="7" fillId="23" borderId="30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Fill="1" applyBorder="1"/>
    <xf numFmtId="166" fontId="7" fillId="0" borderId="39" xfId="2" applyNumberFormat="1" applyFont="1" applyFill="1" applyBorder="1" applyAlignment="1">
      <alignment horizontal="center"/>
    </xf>
    <xf numFmtId="166" fontId="7" fillId="0" borderId="29" xfId="2" applyNumberFormat="1" applyFont="1" applyFill="1" applyBorder="1" applyAlignment="1">
      <alignment horizontal="center"/>
    </xf>
    <xf numFmtId="38" fontId="10" fillId="12" borderId="0" xfId="3" applyNumberFormat="1" applyFont="1" applyFill="1" applyBorder="1" applyAlignment="1">
      <alignment horizontal="center"/>
    </xf>
    <xf numFmtId="165" fontId="7" fillId="7" borderId="33" xfId="1" applyNumberFormat="1" applyFont="1" applyFill="1" applyBorder="1" applyAlignment="1">
      <alignment horizontal="right"/>
    </xf>
    <xf numFmtId="165" fontId="7" fillId="7" borderId="31" xfId="1" applyNumberFormat="1" applyFont="1" applyFill="1" applyBorder="1" applyAlignment="1">
      <alignment horizontal="right"/>
    </xf>
    <xf numFmtId="165" fontId="7" fillId="0" borderId="40" xfId="1" applyNumberFormat="1" applyFont="1" applyFill="1" applyBorder="1" applyAlignment="1">
      <alignment horizontal="right"/>
    </xf>
    <xf numFmtId="166" fontId="7" fillId="0" borderId="33" xfId="2" applyNumberFormat="1" applyFont="1" applyFill="1" applyBorder="1" applyAlignment="1">
      <alignment horizontal="right"/>
    </xf>
    <xf numFmtId="166" fontId="7" fillId="0" borderId="31" xfId="2" applyNumberFormat="1" applyFont="1" applyFill="1" applyBorder="1" applyAlignment="1">
      <alignment horizontal="right"/>
    </xf>
    <xf numFmtId="167" fontId="7" fillId="12" borderId="0" xfId="0" applyNumberFormat="1" applyFont="1" applyFill="1" applyBorder="1" applyAlignment="1">
      <alignment horizontal="right"/>
    </xf>
    <xf numFmtId="38" fontId="7" fillId="7" borderId="31" xfId="0" applyNumberFormat="1" applyFont="1" applyFill="1" applyBorder="1" applyAlignment="1">
      <alignment horizontal="right"/>
    </xf>
    <xf numFmtId="38" fontId="7" fillId="0" borderId="40" xfId="0" applyNumberFormat="1" applyFont="1" applyFill="1" applyBorder="1" applyAlignment="1">
      <alignment horizontal="right"/>
    </xf>
    <xf numFmtId="166" fontId="7" fillId="0" borderId="40" xfId="2" applyNumberFormat="1" applyFont="1" applyFill="1" applyBorder="1"/>
    <xf numFmtId="166" fontId="7" fillId="0" borderId="33" xfId="2" applyNumberFormat="1" applyFont="1" applyFill="1" applyBorder="1"/>
    <xf numFmtId="166" fontId="7" fillId="12" borderId="0" xfId="2" applyNumberFormat="1" applyFont="1" applyFill="1" applyBorder="1"/>
    <xf numFmtId="0" fontId="7" fillId="0" borderId="32" xfId="0" applyFont="1" applyBorder="1" applyAlignment="1">
      <alignment horizontal="left"/>
    </xf>
    <xf numFmtId="166" fontId="10" fillId="12" borderId="0" xfId="2" applyNumberFormat="1" applyFont="1" applyFill="1" applyBorder="1" applyAlignment="1">
      <alignment horizontal="right"/>
    </xf>
    <xf numFmtId="166" fontId="7" fillId="0" borderId="40" xfId="2" applyNumberFormat="1" applyFont="1" applyFill="1" applyBorder="1" applyAlignment="1">
      <alignment horizontal="right"/>
    </xf>
    <xf numFmtId="166" fontId="7" fillId="12" borderId="0" xfId="2" applyNumberFormat="1" applyFont="1" applyFill="1" applyBorder="1" applyAlignment="1">
      <alignment horizontal="right"/>
    </xf>
    <xf numFmtId="38" fontId="7" fillId="0" borderId="15" xfId="0" applyNumberFormat="1" applyFont="1" applyFill="1" applyBorder="1" applyAlignment="1">
      <alignment horizontal="right"/>
    </xf>
    <xf numFmtId="166" fontId="7" fillId="0" borderId="35" xfId="2" applyNumberFormat="1" applyFont="1" applyFill="1" applyBorder="1" applyAlignment="1">
      <alignment horizontal="right"/>
    </xf>
    <xf numFmtId="0" fontId="7" fillId="12" borderId="33" xfId="0" applyFont="1" applyFill="1" applyBorder="1" applyAlignment="1">
      <alignment horizontal="left"/>
    </xf>
    <xf numFmtId="38" fontId="7" fillId="7" borderId="39" xfId="0" applyNumberFormat="1" applyFont="1" applyFill="1" applyBorder="1" applyAlignment="1">
      <alignment horizontal="right"/>
    </xf>
    <xf numFmtId="166" fontId="7" fillId="0" borderId="39" xfId="2" applyNumberFormat="1" applyFont="1" applyFill="1" applyBorder="1"/>
    <xf numFmtId="167" fontId="7" fillId="23" borderId="33" xfId="0" applyNumberFormat="1" applyFont="1" applyFill="1" applyBorder="1" applyAlignment="1">
      <alignment horizontal="left"/>
    </xf>
    <xf numFmtId="38" fontId="7" fillId="11" borderId="39" xfId="0" applyNumberFormat="1" applyFont="1" applyFill="1" applyBorder="1" applyAlignment="1">
      <alignment horizontal="right"/>
    </xf>
    <xf numFmtId="166" fontId="7" fillId="13" borderId="39" xfId="2" applyNumberFormat="1" applyFont="1" applyFill="1" applyBorder="1" applyAlignment="1">
      <alignment horizontal="right"/>
    </xf>
    <xf numFmtId="166" fontId="7" fillId="11" borderId="31" xfId="2" applyNumberFormat="1" applyFont="1" applyFill="1" applyBorder="1" applyAlignment="1">
      <alignment horizontal="right"/>
    </xf>
    <xf numFmtId="165" fontId="7" fillId="12" borderId="0" xfId="1" applyNumberFormat="1" applyFont="1" applyFill="1" applyBorder="1" applyAlignment="1">
      <alignment horizontal="right"/>
    </xf>
    <xf numFmtId="165" fontId="10" fillId="0" borderId="0" xfId="0" applyNumberFormat="1" applyFont="1" applyFill="1"/>
    <xf numFmtId="38" fontId="7" fillId="7" borderId="37" xfId="0" applyNumberFormat="1" applyFont="1" applyFill="1" applyBorder="1" applyAlignment="1">
      <alignment horizontal="right"/>
    </xf>
    <xf numFmtId="38" fontId="7" fillId="0" borderId="22" xfId="0" applyNumberFormat="1" applyFont="1" applyFill="1" applyBorder="1" applyAlignment="1">
      <alignment horizontal="right"/>
    </xf>
    <xf numFmtId="166" fontId="7" fillId="0" borderId="37" xfId="2" applyNumberFormat="1" applyFont="1" applyFill="1" applyBorder="1" applyAlignment="1">
      <alignment horizontal="right"/>
    </xf>
    <xf numFmtId="167" fontId="10" fillId="12" borderId="0" xfId="0" applyNumberFormat="1" applyFont="1" applyFill="1" applyBorder="1" applyAlignment="1">
      <alignment horizontal="right"/>
    </xf>
    <xf numFmtId="166" fontId="7" fillId="7" borderId="7" xfId="2" applyNumberFormat="1" applyFont="1" applyFill="1" applyBorder="1"/>
    <xf numFmtId="0" fontId="10" fillId="7" borderId="33" xfId="0" applyFont="1" applyFill="1" applyBorder="1"/>
    <xf numFmtId="0" fontId="10" fillId="0" borderId="33" xfId="0" applyFont="1" applyBorder="1"/>
    <xf numFmtId="166" fontId="7" fillId="7" borderId="33" xfId="2" applyNumberFormat="1" applyFont="1" applyFill="1" applyBorder="1"/>
    <xf numFmtId="0" fontId="10" fillId="7" borderId="31" xfId="0" applyFont="1" applyFill="1" applyBorder="1"/>
    <xf numFmtId="0" fontId="10" fillId="7" borderId="8" xfId="0" applyFont="1" applyFill="1" applyBorder="1"/>
    <xf numFmtId="1" fontId="7" fillId="0" borderId="7" xfId="0" applyNumberFormat="1" applyFont="1" applyBorder="1" applyAlignment="1">
      <alignment horizontal="left"/>
    </xf>
    <xf numFmtId="166" fontId="7" fillId="0" borderId="39" xfId="2" applyNumberFormat="1" applyFont="1" applyFill="1" applyBorder="1" applyAlignment="1">
      <alignment horizontal="right"/>
    </xf>
    <xf numFmtId="0" fontId="7" fillId="11" borderId="30" xfId="0" applyFont="1" applyFill="1" applyBorder="1"/>
    <xf numFmtId="166" fontId="7" fillId="11" borderId="39" xfId="2" applyNumberFormat="1" applyFont="1" applyFill="1" applyBorder="1" applyAlignment="1">
      <alignment horizontal="right"/>
    </xf>
    <xf numFmtId="38" fontId="7" fillId="0" borderId="25" xfId="0" applyNumberFormat="1" applyFont="1" applyFill="1" applyBorder="1" applyAlignment="1">
      <alignment horizontal="right"/>
    </xf>
    <xf numFmtId="38" fontId="7" fillId="0" borderId="35" xfId="0" applyNumberFormat="1" applyFont="1" applyFill="1" applyBorder="1" applyAlignment="1">
      <alignment horizontal="right"/>
    </xf>
    <xf numFmtId="166" fontId="7" fillId="0" borderId="25" xfId="2" applyNumberFormat="1" applyFont="1" applyFill="1" applyBorder="1" applyAlignment="1">
      <alignment horizontal="right"/>
    </xf>
    <xf numFmtId="166" fontId="11" fillId="0" borderId="18" xfId="2" applyNumberFormat="1" applyFont="1" applyFill="1" applyBorder="1" applyAlignment="1">
      <alignment horizontal="right"/>
    </xf>
    <xf numFmtId="6" fontId="12" fillId="2" borderId="44" xfId="1" applyNumberFormat="1" applyFont="1" applyFill="1" applyBorder="1" applyAlignment="1">
      <alignment horizontal="right"/>
    </xf>
    <xf numFmtId="6" fontId="12" fillId="0" borderId="0" xfId="1" applyNumberFormat="1" applyFont="1" applyFill="1" applyBorder="1" applyAlignment="1">
      <alignment horizontal="right"/>
    </xf>
    <xf numFmtId="166" fontId="7" fillId="0" borderId="18" xfId="2" applyNumberFormat="1" applyFont="1" applyFill="1" applyBorder="1" applyAlignment="1">
      <alignment horizontal="right"/>
    </xf>
    <xf numFmtId="166" fontId="11" fillId="2" borderId="44" xfId="2" applyNumberFormat="1" applyFont="1" applyFill="1" applyBorder="1" applyAlignment="1">
      <alignment horizontal="right"/>
    </xf>
    <xf numFmtId="6" fontId="12" fillId="12" borderId="0" xfId="1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15" fillId="0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6" fontId="12" fillId="0" borderId="37" xfId="1" applyNumberFormat="1" applyFont="1" applyFill="1" applyBorder="1" applyAlignment="1">
      <alignment horizontal="right"/>
    </xf>
    <xf numFmtId="166" fontId="11" fillId="0" borderId="44" xfId="2" applyNumberFormat="1" applyFont="1" applyFill="1" applyBorder="1" applyAlignment="1">
      <alignment horizontal="right"/>
    </xf>
    <xf numFmtId="165" fontId="1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6" fontId="12" fillId="0" borderId="35" xfId="1" applyNumberFormat="1" applyFont="1" applyFill="1" applyBorder="1" applyAlignment="1">
      <alignment horizontal="right"/>
    </xf>
    <xf numFmtId="165" fontId="11" fillId="0" borderId="35" xfId="1" applyNumberFormat="1" applyFont="1" applyFill="1" applyBorder="1" applyAlignment="1">
      <alignment horizontal="right"/>
    </xf>
    <xf numFmtId="166" fontId="11" fillId="0" borderId="8" xfId="2" applyNumberFormat="1" applyFont="1" applyFill="1" applyBorder="1" applyAlignment="1">
      <alignment horizontal="right"/>
    </xf>
    <xf numFmtId="166" fontId="11" fillId="0" borderId="0" xfId="2" applyNumberFormat="1" applyFont="1" applyFill="1" applyBorder="1" applyAlignment="1">
      <alignment horizontal="right"/>
    </xf>
    <xf numFmtId="38" fontId="11" fillId="0" borderId="24" xfId="0" applyNumberFormat="1" applyFont="1" applyFill="1" applyBorder="1" applyAlignment="1">
      <alignment horizontal="right"/>
    </xf>
    <xf numFmtId="38" fontId="7" fillId="0" borderId="24" xfId="0" applyNumberFormat="1" applyFont="1" applyFill="1" applyBorder="1" applyAlignment="1">
      <alignment horizontal="right"/>
    </xf>
    <xf numFmtId="37" fontId="12" fillId="12" borderId="0" xfId="0" applyNumberFormat="1" applyFont="1" applyFill="1" applyBorder="1" applyAlignment="1">
      <alignment horizontal="right"/>
    </xf>
    <xf numFmtId="38" fontId="7" fillId="0" borderId="11" xfId="0" applyNumberFormat="1" applyFont="1" applyFill="1" applyBorder="1" applyAlignment="1">
      <alignment horizontal="right"/>
    </xf>
    <xf numFmtId="6" fontId="12" fillId="0" borderId="2" xfId="0" applyNumberFormat="1" applyFont="1" applyFill="1" applyBorder="1" applyAlignment="1">
      <alignment horizontal="right"/>
    </xf>
    <xf numFmtId="166" fontId="7" fillId="0" borderId="50" xfId="2" applyNumberFormat="1" applyFont="1" applyFill="1" applyBorder="1" applyAlignment="1">
      <alignment horizontal="right"/>
    </xf>
    <xf numFmtId="166" fontId="11" fillId="2" borderId="45" xfId="2" applyNumberFormat="1" applyFont="1" applyFill="1" applyBorder="1" applyAlignment="1">
      <alignment horizontal="right"/>
    </xf>
    <xf numFmtId="6" fontId="12" fillId="12" borderId="0" xfId="0" applyNumberFormat="1" applyFont="1" applyFill="1" applyBorder="1" applyAlignment="1">
      <alignment horizontal="right"/>
    </xf>
    <xf numFmtId="167" fontId="16" fillId="0" borderId="19" xfId="0" applyNumberFormat="1" applyFont="1" applyBorder="1" applyAlignment="1">
      <alignment horizontal="right"/>
    </xf>
    <xf numFmtId="166" fontId="15" fillId="0" borderId="0" xfId="0" applyNumberFormat="1" applyFont="1" applyFill="1" applyBorder="1"/>
    <xf numFmtId="167" fontId="16" fillId="0" borderId="0" xfId="0" applyNumberFormat="1" applyFont="1" applyBorder="1" applyAlignment="1">
      <alignment horizontal="right"/>
    </xf>
    <xf numFmtId="167" fontId="16" fillId="12" borderId="0" xfId="0" applyNumberFormat="1" applyFont="1" applyFill="1" applyBorder="1" applyAlignment="1">
      <alignment horizontal="right"/>
    </xf>
    <xf numFmtId="166" fontId="20" fillId="0" borderId="0" xfId="2" applyNumberFormat="1" applyFont="1"/>
    <xf numFmtId="0" fontId="13" fillId="0" borderId="18" xfId="0" applyFont="1" applyBorder="1" applyAlignment="1">
      <alignment horizontal="left"/>
    </xf>
    <xf numFmtId="49" fontId="14" fillId="0" borderId="7" xfId="3" quotePrefix="1" applyNumberFormat="1" applyFont="1" applyBorder="1" applyAlignment="1">
      <alignment horizontal="center"/>
    </xf>
    <xf numFmtId="49" fontId="14" fillId="0" borderId="8" xfId="3" quotePrefix="1" applyNumberFormat="1" applyFont="1" applyBorder="1" applyAlignment="1">
      <alignment horizontal="center"/>
    </xf>
    <xf numFmtId="49" fontId="14" fillId="0" borderId="0" xfId="3" quotePrefix="1" applyNumberFormat="1" applyFont="1" applyFill="1" applyBorder="1" applyAlignment="1">
      <alignment horizontal="center"/>
    </xf>
    <xf numFmtId="49" fontId="14" fillId="0" borderId="0" xfId="3" quotePrefix="1" applyNumberFormat="1" applyFont="1" applyBorder="1" applyAlignment="1">
      <alignment horizontal="center"/>
    </xf>
    <xf numFmtId="38" fontId="20" fillId="24" borderId="0" xfId="0" applyNumberFormat="1" applyFont="1" applyFill="1" applyAlignment="1">
      <alignment horizontal="left"/>
    </xf>
    <xf numFmtId="38" fontId="7" fillId="24" borderId="0" xfId="0" applyNumberFormat="1" applyFont="1" applyFill="1" applyAlignment="1">
      <alignment horizontal="right"/>
    </xf>
    <xf numFmtId="38" fontId="0" fillId="0" borderId="0" xfId="0" quotePrefix="1" applyNumberFormat="1" applyFill="1" applyBorder="1"/>
    <xf numFmtId="38" fontId="20" fillId="24" borderId="0" xfId="0" applyNumberFormat="1" applyFont="1" applyFill="1" applyBorder="1"/>
    <xf numFmtId="38" fontId="0" fillId="0" borderId="0" xfId="0" applyNumberFormat="1" applyFill="1" applyBorder="1"/>
    <xf numFmtId="38" fontId="7" fillId="0" borderId="51" xfId="0" applyNumberFormat="1" applyFont="1" applyFill="1" applyBorder="1" applyAlignment="1">
      <alignment horizontal="center"/>
    </xf>
    <xf numFmtId="38" fontId="21" fillId="0" borderId="47" xfId="0" applyNumberFormat="1" applyFont="1" applyFill="1" applyBorder="1" applyAlignment="1">
      <alignment horizontal="center" vertical="center" wrapText="1"/>
    </xf>
    <xf numFmtId="38" fontId="21" fillId="0" borderId="51" xfId="0" applyNumberFormat="1" applyFont="1" applyFill="1" applyBorder="1" applyAlignment="1">
      <alignment horizontal="center" vertical="center" wrapText="1"/>
    </xf>
    <xf numFmtId="38" fontId="21" fillId="0" borderId="47" xfId="0" applyNumberFormat="1" applyFont="1" applyFill="1" applyBorder="1" applyAlignment="1">
      <alignment horizontal="center"/>
    </xf>
    <xf numFmtId="38" fontId="21" fillId="0" borderId="51" xfId="0" applyNumberFormat="1" applyFont="1" applyFill="1" applyBorder="1" applyAlignment="1">
      <alignment horizontal="center"/>
    </xf>
    <xf numFmtId="38" fontId="7" fillId="0" borderId="7" xfId="0" applyNumberFormat="1" applyFont="1" applyBorder="1"/>
    <xf numFmtId="38" fontId="7" fillId="0" borderId="8" xfId="0" applyNumberFormat="1" applyFont="1" applyBorder="1"/>
    <xf numFmtId="38" fontId="7" fillId="7" borderId="33" xfId="1" applyNumberFormat="1" applyFont="1" applyFill="1" applyBorder="1" applyAlignment="1">
      <alignment horizontal="right"/>
    </xf>
    <xf numFmtId="165" fontId="7" fillId="0" borderId="31" xfId="1" applyNumberFormat="1" applyFont="1" applyFill="1" applyBorder="1" applyAlignment="1">
      <alignment horizontal="right"/>
    </xf>
    <xf numFmtId="38" fontId="7" fillId="7" borderId="33" xfId="2" applyNumberFormat="1" applyFont="1" applyFill="1" applyBorder="1" applyAlignment="1">
      <alignment horizontal="right"/>
    </xf>
    <xf numFmtId="38" fontId="7" fillId="18" borderId="33" xfId="2" applyNumberFormat="1" applyFont="1" applyFill="1" applyBorder="1" applyAlignment="1">
      <alignment horizontal="right"/>
    </xf>
    <xf numFmtId="165" fontId="7" fillId="13" borderId="31" xfId="1" applyNumberFormat="1" applyFont="1" applyFill="1" applyBorder="1" applyAlignment="1">
      <alignment horizontal="right"/>
    </xf>
    <xf numFmtId="38" fontId="7" fillId="18" borderId="39" xfId="2" applyNumberFormat="1" applyFont="1" applyFill="1" applyBorder="1"/>
    <xf numFmtId="38" fontId="11" fillId="0" borderId="18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38" fontId="12" fillId="0" borderId="37" xfId="1" applyNumberFormat="1" applyFont="1" applyFill="1" applyBorder="1" applyAlignment="1">
      <alignment horizontal="right"/>
    </xf>
    <xf numFmtId="38" fontId="12" fillId="0" borderId="35" xfId="1" applyNumberFormat="1" applyFont="1" applyFill="1" applyBorder="1" applyAlignment="1">
      <alignment horizontal="right"/>
    </xf>
    <xf numFmtId="38" fontId="11" fillId="0" borderId="8" xfId="2" applyNumberFormat="1" applyFont="1" applyFill="1" applyBorder="1" applyAlignment="1">
      <alignment horizontal="right"/>
    </xf>
    <xf numFmtId="165" fontId="11" fillId="2" borderId="45" xfId="1" applyNumberFormat="1" applyFont="1" applyFill="1" applyBorder="1" applyAlignment="1">
      <alignment horizontal="right"/>
    </xf>
    <xf numFmtId="38" fontId="7" fillId="3" borderId="44" xfId="0" applyNumberFormat="1" applyFont="1" applyFill="1" applyBorder="1" applyAlignment="1">
      <alignment horizontal="right"/>
    </xf>
    <xf numFmtId="38" fontId="7" fillId="18" borderId="44" xfId="0" applyNumberFormat="1" applyFont="1" applyFill="1" applyBorder="1" applyAlignment="1">
      <alignment horizontal="right"/>
    </xf>
    <xf numFmtId="38" fontId="16" fillId="0" borderId="45" xfId="0" applyNumberFormat="1" applyFont="1" applyBorder="1" applyAlignment="1">
      <alignment horizontal="right"/>
    </xf>
    <xf numFmtId="38" fontId="7" fillId="0" borderId="11" xfId="0" applyNumberFormat="1" applyFont="1" applyBorder="1"/>
    <xf numFmtId="38" fontId="7" fillId="0" borderId="13" xfId="0" applyNumberFormat="1" applyFont="1" applyBorder="1"/>
    <xf numFmtId="38" fontId="0" fillId="0" borderId="0" xfId="0" applyNumberFormat="1" applyBorder="1"/>
    <xf numFmtId="38" fontId="10" fillId="0" borderId="0" xfId="0" applyNumberFormat="1" applyFont="1" applyFill="1"/>
    <xf numFmtId="38" fontId="7" fillId="0" borderId="44" xfId="0" applyNumberFormat="1" applyFont="1" applyFill="1" applyBorder="1" applyAlignment="1">
      <alignment horizontal="right"/>
    </xf>
    <xf numFmtId="0" fontId="7" fillId="18" borderId="31" xfId="0" applyFont="1" applyFill="1" applyBorder="1" applyAlignment="1">
      <alignment horizontal="left"/>
    </xf>
    <xf numFmtId="38" fontId="7" fillId="22" borderId="31" xfId="0" applyNumberFormat="1" applyFont="1" applyFill="1" applyBorder="1" applyAlignment="1">
      <alignment horizontal="right"/>
    </xf>
    <xf numFmtId="38" fontId="7" fillId="0" borderId="44" xfId="2" applyNumberFormat="1" applyFont="1" applyFill="1" applyBorder="1" applyAlignment="1">
      <alignment horizontal="right"/>
    </xf>
    <xf numFmtId="38" fontId="7" fillId="0" borderId="52" xfId="0" applyNumberFormat="1" applyFont="1" applyFill="1" applyBorder="1" applyAlignment="1">
      <alignment horizontal="center"/>
    </xf>
    <xf numFmtId="166" fontId="11" fillId="7" borderId="44" xfId="2" applyNumberFormat="1" applyFont="1" applyFill="1" applyBorder="1" applyAlignment="1">
      <alignment horizontal="right"/>
    </xf>
    <xf numFmtId="166" fontId="7" fillId="9" borderId="31" xfId="2" applyNumberFormat="1" applyFont="1" applyFill="1" applyBorder="1"/>
    <xf numFmtId="166" fontId="7" fillId="9" borderId="33" xfId="2" applyNumberFormat="1" applyFont="1" applyFill="1" applyBorder="1" applyAlignment="1">
      <alignment horizontal="right"/>
    </xf>
    <xf numFmtId="166" fontId="7" fillId="9" borderId="39" xfId="2" applyNumberFormat="1" applyFont="1" applyFill="1" applyBorder="1"/>
    <xf numFmtId="38" fontId="10" fillId="9" borderId="35" xfId="0" applyNumberFormat="1" applyFont="1" applyFill="1" applyBorder="1" applyAlignment="1">
      <alignment horizontal="right"/>
    </xf>
    <xf numFmtId="0" fontId="7" fillId="22" borderId="31" xfId="0" applyFont="1" applyFill="1" applyBorder="1"/>
    <xf numFmtId="165" fontId="12" fillId="25" borderId="45" xfId="1" applyNumberFormat="1" applyFont="1" applyFill="1" applyBorder="1" applyAlignment="1">
      <alignment horizontal="right"/>
    </xf>
    <xf numFmtId="165" fontId="7" fillId="2" borderId="43" xfId="1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68" fontId="7" fillId="0" borderId="13" xfId="0" applyNumberFormat="1" applyFont="1" applyBorder="1"/>
    <xf numFmtId="0" fontId="7" fillId="18" borderId="29" xfId="0" applyFont="1" applyFill="1" applyBorder="1"/>
    <xf numFmtId="0" fontId="10" fillId="0" borderId="7" xfId="0" applyFont="1" applyBorder="1"/>
    <xf numFmtId="0" fontId="7" fillId="22" borderId="46" xfId="0" applyFont="1" applyFill="1" applyBorder="1" applyAlignment="1">
      <alignment horizontal="left"/>
    </xf>
    <xf numFmtId="0" fontId="15" fillId="22" borderId="49" xfId="0" applyFont="1" applyFill="1" applyBorder="1"/>
    <xf numFmtId="165" fontId="12" fillId="22" borderId="45" xfId="1" applyNumberFormat="1" applyFont="1" applyFill="1" applyBorder="1" applyAlignment="1">
      <alignment horizontal="right"/>
    </xf>
    <xf numFmtId="167" fontId="16" fillId="7" borderId="53" xfId="0" applyNumberFormat="1" applyFont="1" applyFill="1" applyBorder="1" applyAlignment="1">
      <alignment horizontal="right"/>
    </xf>
    <xf numFmtId="5" fontId="7" fillId="7" borderId="8" xfId="0" applyNumberFormat="1" applyFont="1" applyFill="1" applyBorder="1" applyAlignment="1">
      <alignment horizontal="right"/>
    </xf>
    <xf numFmtId="0" fontId="7" fillId="26" borderId="7" xfId="0" applyFont="1" applyFill="1" applyBorder="1" applyAlignment="1">
      <alignment horizontal="left"/>
    </xf>
    <xf numFmtId="0" fontId="7" fillId="26" borderId="8" xfId="0" applyFont="1" applyFill="1" applyBorder="1"/>
    <xf numFmtId="38" fontId="7" fillId="0" borderId="39" xfId="2" applyNumberFormat="1" applyFont="1" applyFill="1" applyBorder="1" applyAlignment="1">
      <alignment horizontal="right"/>
    </xf>
    <xf numFmtId="38" fontId="7" fillId="27" borderId="33" xfId="2" applyNumberFormat="1" applyFont="1" applyFill="1" applyBorder="1" applyAlignment="1">
      <alignment horizontal="right"/>
    </xf>
    <xf numFmtId="38" fontId="7" fillId="27" borderId="39" xfId="2" applyNumberFormat="1" applyFont="1" applyFill="1" applyBorder="1"/>
    <xf numFmtId="0" fontId="7" fillId="0" borderId="0" xfId="0" applyFont="1" applyAlignment="1">
      <alignment horizontal="left"/>
    </xf>
    <xf numFmtId="38" fontId="10" fillId="0" borderId="35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5" fillId="0" borderId="0" xfId="0" applyFont="1"/>
    <xf numFmtId="0" fontId="23" fillId="15" borderId="2" xfId="0" applyFont="1" applyFill="1" applyBorder="1" applyAlignment="1">
      <alignment horizontal="center"/>
    </xf>
    <xf numFmtId="16" fontId="23" fillId="0" borderId="2" xfId="0" applyNumberFormat="1" applyFont="1" applyBorder="1" applyAlignment="1">
      <alignment horizontal="center"/>
    </xf>
    <xf numFmtId="0" fontId="26" fillId="16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quotePrefix="1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7" fillId="0" borderId="1" xfId="0" applyFont="1" applyBorder="1" applyAlignment="1">
      <alignment horizontal="center"/>
    </xf>
    <xf numFmtId="169" fontId="0" fillId="0" borderId="2" xfId="0" applyNumberFormat="1" applyBorder="1"/>
    <xf numFmtId="165" fontId="0" fillId="0" borderId="2" xfId="1" applyNumberFormat="1" applyFont="1" applyBorder="1"/>
    <xf numFmtId="38" fontId="0" fillId="0" borderId="2" xfId="0" applyNumberFormat="1" applyBorder="1"/>
    <xf numFmtId="38" fontId="0" fillId="0" borderId="55" xfId="0" applyNumberFormat="1" applyBorder="1"/>
    <xf numFmtId="0" fontId="28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/>
    <xf numFmtId="0" fontId="27" fillId="0" borderId="5" xfId="0" applyFont="1" applyBorder="1" applyAlignment="1">
      <alignment horizontal="center"/>
    </xf>
    <xf numFmtId="0" fontId="0" fillId="0" borderId="6" xfId="0" applyBorder="1"/>
    <xf numFmtId="169" fontId="0" fillId="0" borderId="0" xfId="0" applyNumberFormat="1" applyBorder="1"/>
    <xf numFmtId="1" fontId="0" fillId="0" borderId="0" xfId="0" applyNumberFormat="1" applyBorder="1"/>
    <xf numFmtId="1" fontId="0" fillId="0" borderId="8" xfId="0" applyNumberFormat="1" applyBorder="1" applyAlignment="1">
      <alignment horizontal="left"/>
    </xf>
    <xf numFmtId="0" fontId="0" fillId="0" borderId="7" xfId="0" applyBorder="1"/>
    <xf numFmtId="0" fontId="0" fillId="0" borderId="13" xfId="0" applyBorder="1"/>
    <xf numFmtId="165" fontId="28" fillId="2" borderId="14" xfId="1" applyNumberFormat="1" applyFont="1" applyFill="1" applyBorder="1"/>
    <xf numFmtId="165" fontId="28" fillId="2" borderId="54" xfId="1" applyNumberFormat="1" applyFont="1" applyFill="1" applyBorder="1"/>
    <xf numFmtId="0" fontId="0" fillId="3" borderId="3" xfId="0" applyFill="1" applyBorder="1" applyAlignment="1">
      <alignment horizontal="center" vertical="center" wrapText="1"/>
    </xf>
    <xf numFmtId="169" fontId="0" fillId="3" borderId="14" xfId="0" applyNumberFormat="1" applyFill="1" applyBorder="1"/>
    <xf numFmtId="170" fontId="0" fillId="0" borderId="2" xfId="0" applyNumberFormat="1" applyBorder="1"/>
    <xf numFmtId="38" fontId="10" fillId="0" borderId="13" xfId="0" applyNumberFormat="1" applyFont="1" applyBorder="1" applyAlignment="1">
      <alignment horizontal="right"/>
    </xf>
    <xf numFmtId="0" fontId="0" fillId="28" borderId="0" xfId="0" applyFill="1" applyAlignment="1">
      <alignment horizontal="center"/>
    </xf>
    <xf numFmtId="0" fontId="7" fillId="28" borderId="0" xfId="0" applyFont="1" applyFill="1" applyAlignment="1">
      <alignment horizontal="center"/>
    </xf>
    <xf numFmtId="0" fontId="7" fillId="2" borderId="30" xfId="0" applyFont="1" applyFill="1" applyBorder="1" applyAlignment="1">
      <alignment horizontal="left"/>
    </xf>
    <xf numFmtId="0" fontId="11" fillId="0" borderId="0" xfId="0" applyFont="1"/>
    <xf numFmtId="166" fontId="7" fillId="5" borderId="26" xfId="2" applyNumberFormat="1" applyFont="1" applyFill="1" applyBorder="1" applyAlignment="1">
      <alignment horizontal="right"/>
    </xf>
    <xf numFmtId="38" fontId="18" fillId="6" borderId="26" xfId="0" applyNumberFormat="1" applyFont="1" applyFill="1" applyBorder="1" applyAlignment="1">
      <alignment horizontal="right"/>
    </xf>
    <xf numFmtId="0" fontId="7" fillId="2" borderId="30" xfId="0" applyFont="1" applyFill="1" applyBorder="1"/>
    <xf numFmtId="165" fontId="11" fillId="2" borderId="26" xfId="1" applyNumberFormat="1" applyFont="1" applyFill="1" applyBorder="1" applyAlignment="1">
      <alignment horizontal="right"/>
    </xf>
    <xf numFmtId="0" fontId="7" fillId="0" borderId="39" xfId="0" applyFont="1" applyFill="1" applyBorder="1"/>
    <xf numFmtId="0" fontId="7" fillId="0" borderId="40" xfId="0" applyFont="1" applyFill="1" applyBorder="1"/>
    <xf numFmtId="166" fontId="7" fillId="0" borderId="42" xfId="2" applyNumberFormat="1" applyFont="1" applyFill="1" applyBorder="1" applyAlignment="1">
      <alignment horizontal="right"/>
    </xf>
    <xf numFmtId="0" fontId="7" fillId="0" borderId="29" xfId="0" applyFont="1" applyFill="1" applyBorder="1"/>
    <xf numFmtId="38" fontId="7" fillId="9" borderId="42" xfId="0" applyNumberFormat="1" applyFont="1" applyFill="1" applyBorder="1" applyAlignment="1">
      <alignment horizontal="right"/>
    </xf>
    <xf numFmtId="38" fontId="7" fillId="2" borderId="43" xfId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168" fontId="7" fillId="0" borderId="0" xfId="0" applyNumberFormat="1" applyFont="1" applyFill="1" applyBorder="1"/>
    <xf numFmtId="38" fontId="7" fillId="21" borderId="42" xfId="0" applyNumberFormat="1" applyFont="1" applyFill="1" applyBorder="1" applyAlignment="1">
      <alignment horizontal="right"/>
    </xf>
    <xf numFmtId="38" fontId="7" fillId="5" borderId="42" xfId="0" applyNumberFormat="1" applyFont="1" applyFill="1" applyBorder="1" applyAlignment="1">
      <alignment horizontal="right"/>
    </xf>
    <xf numFmtId="166" fontId="11" fillId="7" borderId="42" xfId="2" applyNumberFormat="1" applyFont="1" applyFill="1" applyBorder="1" applyAlignment="1">
      <alignment horizontal="right"/>
    </xf>
    <xf numFmtId="165" fontId="11" fillId="2" borderId="34" xfId="1" applyNumberFormat="1" applyFont="1" applyFill="1" applyBorder="1" applyAlignment="1">
      <alignment horizontal="right"/>
    </xf>
    <xf numFmtId="165" fontId="12" fillId="2" borderId="34" xfId="1" applyNumberFormat="1" applyFont="1" applyFill="1" applyBorder="1" applyAlignment="1">
      <alignment horizontal="right"/>
    </xf>
    <xf numFmtId="166" fontId="11" fillId="7" borderId="34" xfId="2" applyNumberFormat="1" applyFont="1" applyFill="1" applyBorder="1" applyAlignment="1">
      <alignment horizontal="right"/>
    </xf>
    <xf numFmtId="38" fontId="7" fillId="6" borderId="28" xfId="0" applyNumberFormat="1" applyFont="1" applyFill="1" applyBorder="1" applyAlignment="1">
      <alignment horizontal="right"/>
    </xf>
    <xf numFmtId="38" fontId="7" fillId="6" borderId="42" xfId="0" applyNumberFormat="1" applyFont="1" applyFill="1" applyBorder="1" applyAlignment="1">
      <alignment horizontal="right"/>
    </xf>
    <xf numFmtId="6" fontId="12" fillId="21" borderId="28" xfId="1" applyNumberFormat="1" applyFont="1" applyFill="1" applyBorder="1" applyAlignment="1">
      <alignment horizontal="right"/>
    </xf>
    <xf numFmtId="6" fontId="12" fillId="2" borderId="28" xfId="1" applyNumberFormat="1" applyFont="1" applyFill="1" applyBorder="1" applyAlignment="1">
      <alignment horizontal="right"/>
    </xf>
    <xf numFmtId="38" fontId="7" fillId="2" borderId="35" xfId="0" applyNumberFormat="1" applyFont="1" applyFill="1" applyBorder="1" applyAlignment="1">
      <alignment horizontal="right"/>
    </xf>
    <xf numFmtId="38" fontId="7" fillId="22" borderId="26" xfId="0" applyNumberFormat="1" applyFont="1" applyFill="1" applyBorder="1" applyAlignment="1">
      <alignment horizontal="right"/>
    </xf>
    <xf numFmtId="165" fontId="7" fillId="22" borderId="26" xfId="1" applyNumberFormat="1" applyFont="1" applyFill="1" applyBorder="1" applyAlignment="1">
      <alignment horizontal="right"/>
    </xf>
    <xf numFmtId="166" fontId="7" fillId="22" borderId="26" xfId="2" applyNumberFormat="1" applyFont="1" applyFill="1" applyBorder="1"/>
    <xf numFmtId="165" fontId="11" fillId="22" borderId="31" xfId="1" applyNumberFormat="1" applyFont="1" applyFill="1" applyBorder="1" applyAlignment="1">
      <alignment horizontal="right"/>
    </xf>
    <xf numFmtId="38" fontId="7" fillId="22" borderId="26" xfId="2" applyNumberFormat="1" applyFont="1" applyFill="1" applyBorder="1"/>
    <xf numFmtId="0" fontId="12" fillId="2" borderId="7" xfId="0" applyFont="1" applyFill="1" applyBorder="1" applyAlignment="1">
      <alignment horizontal="left"/>
    </xf>
    <xf numFmtId="0" fontId="7" fillId="2" borderId="0" xfId="0" applyFont="1" applyFill="1" applyBorder="1"/>
    <xf numFmtId="165" fontId="11" fillId="9" borderId="34" xfId="1" applyNumberFormat="1" applyFont="1" applyFill="1" applyBorder="1" applyAlignment="1">
      <alignment horizontal="right"/>
    </xf>
    <xf numFmtId="165" fontId="12" fillId="20" borderId="34" xfId="1" applyNumberFormat="1" applyFont="1" applyFill="1" applyBorder="1" applyAlignment="1">
      <alignment horizontal="right"/>
    </xf>
    <xf numFmtId="38" fontId="7" fillId="20" borderId="42" xfId="0" applyNumberFormat="1" applyFont="1" applyFill="1" applyBorder="1" applyAlignment="1">
      <alignment horizontal="right"/>
    </xf>
    <xf numFmtId="166" fontId="11" fillId="7" borderId="36" xfId="2" applyNumberFormat="1" applyFont="1" applyFill="1" applyBorder="1" applyAlignment="1">
      <alignment horizontal="right"/>
    </xf>
    <xf numFmtId="38" fontId="7" fillId="0" borderId="8" xfId="0" applyNumberFormat="1" applyFont="1" applyBorder="1" applyAlignment="1">
      <alignment horizontal="right"/>
    </xf>
    <xf numFmtId="38" fontId="7" fillId="0" borderId="36" xfId="0" applyNumberFormat="1" applyFont="1" applyFill="1" applyBorder="1" applyAlignment="1">
      <alignment horizontal="right"/>
    </xf>
    <xf numFmtId="38" fontId="7" fillId="5" borderId="28" xfId="0" applyNumberFormat="1" applyFont="1" applyFill="1" applyBorder="1" applyAlignment="1">
      <alignment horizontal="right"/>
    </xf>
    <xf numFmtId="38" fontId="7" fillId="7" borderId="28" xfId="0" applyNumberFormat="1" applyFont="1" applyFill="1" applyBorder="1" applyAlignment="1">
      <alignment horizontal="right"/>
    </xf>
    <xf numFmtId="38" fontId="7" fillId="0" borderId="44" xfId="0" applyNumberFormat="1" applyFont="1" applyBorder="1" applyAlignment="1">
      <alignment horizontal="right"/>
    </xf>
    <xf numFmtId="38" fontId="7" fillId="0" borderId="42" xfId="0" applyNumberFormat="1" applyFont="1" applyFill="1" applyBorder="1" applyAlignment="1">
      <alignment horizontal="right"/>
    </xf>
    <xf numFmtId="38" fontId="10" fillId="30" borderId="29" xfId="2" applyNumberFormat="1" applyFont="1" applyFill="1" applyBorder="1" applyAlignment="1">
      <alignment horizontal="center"/>
    </xf>
    <xf numFmtId="38" fontId="7" fillId="30" borderId="24" xfId="2" applyNumberFormat="1" applyFont="1" applyFill="1" applyBorder="1" applyAlignment="1"/>
    <xf numFmtId="38" fontId="7" fillId="9" borderId="20" xfId="0" applyNumberFormat="1" applyFont="1" applyFill="1" applyBorder="1" applyAlignment="1">
      <alignment horizontal="center"/>
    </xf>
    <xf numFmtId="38" fontId="7" fillId="9" borderId="21" xfId="0" applyNumberFormat="1" applyFont="1" applyFill="1" applyBorder="1" applyAlignment="1">
      <alignment horizontal="center"/>
    </xf>
    <xf numFmtId="38" fontId="21" fillId="0" borderId="0" xfId="0" applyNumberFormat="1" applyFont="1"/>
    <xf numFmtId="38" fontId="29" fillId="0" borderId="0" xfId="0" applyNumberFormat="1" applyFont="1"/>
    <xf numFmtId="0" fontId="8" fillId="0" borderId="46" xfId="0" applyFont="1" applyBorder="1"/>
    <xf numFmtId="0" fontId="7" fillId="0" borderId="56" xfId="0" applyFont="1" applyBorder="1"/>
    <xf numFmtId="0" fontId="7" fillId="0" borderId="0" xfId="0" applyFont="1" applyFill="1"/>
    <xf numFmtId="38" fontId="7" fillId="9" borderId="28" xfId="0" applyNumberFormat="1" applyFont="1" applyFill="1" applyBorder="1" applyAlignment="1">
      <alignment horizontal="right"/>
    </xf>
    <xf numFmtId="166" fontId="11" fillId="7" borderId="28" xfId="2" applyNumberFormat="1" applyFont="1" applyFill="1" applyBorder="1" applyAlignment="1">
      <alignment horizontal="right"/>
    </xf>
    <xf numFmtId="165" fontId="11" fillId="9" borderId="28" xfId="1" applyNumberFormat="1" applyFont="1" applyFill="1" applyBorder="1" applyAlignment="1">
      <alignment horizontal="right"/>
    </xf>
    <xf numFmtId="38" fontId="7" fillId="7" borderId="19" xfId="2" applyNumberFormat="1" applyFont="1" applyFill="1" applyBorder="1"/>
    <xf numFmtId="165" fontId="12" fillId="20" borderId="28" xfId="1" applyNumberFormat="1" applyFont="1" applyFill="1" applyBorder="1" applyAlignment="1">
      <alignment horizontal="right"/>
    </xf>
    <xf numFmtId="38" fontId="7" fillId="20" borderId="28" xfId="0" applyNumberFormat="1" applyFont="1" applyFill="1" applyBorder="1" applyAlignment="1">
      <alignment horizontal="right"/>
    </xf>
    <xf numFmtId="38" fontId="7" fillId="7" borderId="44" xfId="0" applyNumberFormat="1" applyFont="1" applyFill="1" applyBorder="1" applyAlignment="1">
      <alignment horizontal="right"/>
    </xf>
    <xf numFmtId="0" fontId="7" fillId="29" borderId="46" xfId="0" applyFont="1" applyFill="1" applyBorder="1"/>
    <xf numFmtId="0" fontId="7" fillId="29" borderId="56" xfId="0" applyFont="1" applyFill="1" applyBorder="1"/>
    <xf numFmtId="166" fontId="7" fillId="29" borderId="56" xfId="2" applyNumberFormat="1" applyFont="1" applyFill="1" applyBorder="1" applyAlignment="1">
      <alignment horizontal="right"/>
    </xf>
    <xf numFmtId="0" fontId="11" fillId="29" borderId="56" xfId="3" applyNumberFormat="1" applyFont="1" applyFill="1" applyBorder="1" applyAlignment="1">
      <alignment horizontal="center"/>
    </xf>
    <xf numFmtId="38" fontId="7" fillId="29" borderId="56" xfId="0" applyNumberFormat="1" applyFont="1" applyFill="1" applyBorder="1" applyAlignment="1">
      <alignment horizontal="center"/>
    </xf>
    <xf numFmtId="40" fontId="7" fillId="29" borderId="49" xfId="0" applyNumberFormat="1" applyFont="1" applyFill="1" applyBorder="1" applyAlignment="1">
      <alignment horizontal="center"/>
    </xf>
    <xf numFmtId="165" fontId="11" fillId="29" borderId="56" xfId="1" applyNumberFormat="1" applyFont="1" applyFill="1" applyBorder="1" applyAlignment="1">
      <alignment horizontal="center"/>
    </xf>
    <xf numFmtId="38" fontId="7" fillId="29" borderId="4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171" fontId="10" fillId="0" borderId="0" xfId="4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9" fontId="10" fillId="0" borderId="0" xfId="4" applyFont="1" applyFill="1" applyAlignment="1">
      <alignment horizontal="center"/>
    </xf>
    <xf numFmtId="38" fontId="7" fillId="8" borderId="20" xfId="0" applyNumberFormat="1" applyFont="1" applyFill="1" applyBorder="1" applyAlignment="1">
      <alignment horizontal="center"/>
    </xf>
    <xf numFmtId="38" fontId="10" fillId="8" borderId="21" xfId="0" applyNumberFormat="1" applyFont="1" applyFill="1" applyBorder="1" applyAlignment="1">
      <alignment horizontal="center"/>
    </xf>
    <xf numFmtId="38" fontId="10" fillId="8" borderId="21" xfId="2" applyNumberFormat="1" applyFont="1" applyFill="1" applyBorder="1" applyAlignment="1">
      <alignment horizontal="center"/>
    </xf>
    <xf numFmtId="38" fontId="7" fillId="7" borderId="46" xfId="0" applyNumberFormat="1" applyFont="1" applyFill="1" applyBorder="1" applyAlignment="1">
      <alignment horizontal="center"/>
    </xf>
    <xf numFmtId="38" fontId="7" fillId="7" borderId="49" xfId="2" applyNumberFormat="1" applyFont="1" applyFill="1" applyBorder="1" applyAlignment="1"/>
    <xf numFmtId="38" fontId="7" fillId="5" borderId="46" xfId="0" applyNumberFormat="1" applyFont="1" applyFill="1" applyBorder="1" applyAlignment="1">
      <alignment horizontal="left"/>
    </xf>
    <xf numFmtId="38" fontId="7" fillId="5" borderId="49" xfId="0" applyNumberFormat="1" applyFont="1" applyFill="1" applyBorder="1" applyAlignment="1">
      <alignment horizontal="center"/>
    </xf>
    <xf numFmtId="0" fontId="7" fillId="0" borderId="40" xfId="0" applyFont="1" applyBorder="1"/>
    <xf numFmtId="0" fontId="7" fillId="0" borderId="23" xfId="0" applyFont="1" applyBorder="1" applyAlignment="1">
      <alignment horizontal="left"/>
    </xf>
    <xf numFmtId="0" fontId="7" fillId="11" borderId="23" xfId="0" applyFont="1" applyFill="1" applyBorder="1"/>
    <xf numFmtId="38" fontId="7" fillId="0" borderId="23" xfId="0" applyNumberFormat="1" applyFont="1" applyBorder="1"/>
    <xf numFmtId="166" fontId="7" fillId="0" borderId="23" xfId="0" applyNumberFormat="1" applyFont="1" applyBorder="1"/>
    <xf numFmtId="0" fontId="7" fillId="11" borderId="40" xfId="0" applyFont="1" applyFill="1" applyBorder="1"/>
    <xf numFmtId="38" fontId="10" fillId="0" borderId="42" xfId="0" applyNumberFormat="1" applyFont="1" applyBorder="1" applyAlignment="1">
      <alignment horizontal="center"/>
    </xf>
    <xf numFmtId="38" fontId="7" fillId="2" borderId="57" xfId="0" applyNumberFormat="1" applyFont="1" applyFill="1" applyBorder="1" applyAlignment="1">
      <alignment horizontal="center"/>
    </xf>
    <xf numFmtId="38" fontId="7" fillId="2" borderId="58" xfId="0" applyNumberFormat="1" applyFont="1" applyFill="1" applyBorder="1" applyAlignment="1">
      <alignment horizontal="center"/>
    </xf>
    <xf numFmtId="38" fontId="7" fillId="9" borderId="19" xfId="0" applyNumberFormat="1" applyFont="1" applyFill="1" applyBorder="1" applyAlignment="1">
      <alignment horizontal="right"/>
    </xf>
    <xf numFmtId="0" fontId="10" fillId="0" borderId="0" xfId="0" applyFont="1" applyFill="1"/>
    <xf numFmtId="0" fontId="7" fillId="0" borderId="0" xfId="0" applyFont="1" applyFill="1"/>
    <xf numFmtId="165" fontId="7" fillId="2" borderId="34" xfId="1" applyNumberFormat="1" applyFont="1" applyFill="1" applyBorder="1" applyAlignment="1">
      <alignment horizontal="right"/>
    </xf>
    <xf numFmtId="38" fontId="11" fillId="0" borderId="0" xfId="0" applyNumberFormat="1" applyFont="1" applyBorder="1" applyAlignment="1">
      <alignment horizontal="left"/>
    </xf>
    <xf numFmtId="38" fontId="7" fillId="20" borderId="34" xfId="0" applyNumberFormat="1" applyFont="1" applyFill="1" applyBorder="1" applyAlignment="1">
      <alignment horizontal="right"/>
    </xf>
    <xf numFmtId="165" fontId="7" fillId="20" borderId="26" xfId="1" applyNumberFormat="1" applyFont="1" applyFill="1" applyBorder="1" applyAlignment="1">
      <alignment horizontal="right"/>
    </xf>
    <xf numFmtId="165" fontId="7" fillId="29" borderId="49" xfId="1" applyNumberFormat="1" applyFont="1" applyFill="1" applyBorder="1" applyAlignment="1">
      <alignment horizontal="center"/>
    </xf>
    <xf numFmtId="38" fontId="7" fillId="5" borderId="56" xfId="0" applyNumberFormat="1" applyFont="1" applyFill="1" applyBorder="1" applyAlignment="1">
      <alignment horizontal="center"/>
    </xf>
    <xf numFmtId="38" fontId="10" fillId="8" borderId="22" xfId="0" applyNumberFormat="1" applyFont="1" applyFill="1" applyBorder="1" applyAlignment="1">
      <alignment horizontal="center"/>
    </xf>
    <xf numFmtId="38" fontId="7" fillId="5" borderId="59" xfId="0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>
      <alignment horizontal="center"/>
    </xf>
    <xf numFmtId="165" fontId="7" fillId="22" borderId="23" xfId="1" applyNumberFormat="1" applyFont="1" applyFill="1" applyBorder="1" applyAlignment="1">
      <alignment horizontal="right"/>
    </xf>
    <xf numFmtId="166" fontId="7" fillId="22" borderId="23" xfId="2" applyNumberFormat="1" applyFont="1" applyFill="1" applyBorder="1"/>
    <xf numFmtId="38" fontId="7" fillId="5" borderId="20" xfId="0" applyNumberFormat="1" applyFont="1" applyFill="1" applyBorder="1" applyAlignment="1">
      <alignment horizontal="right"/>
    </xf>
    <xf numFmtId="38" fontId="7" fillId="20" borderId="23" xfId="0" applyNumberFormat="1" applyFont="1" applyFill="1" applyBorder="1" applyAlignment="1">
      <alignment horizontal="right"/>
    </xf>
    <xf numFmtId="165" fontId="12" fillId="2" borderId="59" xfId="1" applyNumberFormat="1" applyFont="1" applyFill="1" applyBorder="1" applyAlignment="1">
      <alignment horizontal="right"/>
    </xf>
    <xf numFmtId="165" fontId="12" fillId="20" borderId="19" xfId="1" applyNumberFormat="1" applyFont="1" applyFill="1" applyBorder="1" applyAlignment="1">
      <alignment horizontal="right"/>
    </xf>
    <xf numFmtId="38" fontId="7" fillId="20" borderId="19" xfId="0" applyNumberFormat="1" applyFont="1" applyFill="1" applyBorder="1" applyAlignment="1">
      <alignment horizontal="right"/>
    </xf>
    <xf numFmtId="38" fontId="7" fillId="2" borderId="59" xfId="0" applyNumberFormat="1" applyFont="1" applyFill="1" applyBorder="1" applyAlignment="1">
      <alignment horizontal="right"/>
    </xf>
    <xf numFmtId="38" fontId="7" fillId="5" borderId="0" xfId="0" applyNumberFormat="1" applyFont="1" applyFill="1" applyBorder="1" applyAlignment="1">
      <alignment horizontal="right"/>
    </xf>
    <xf numFmtId="165" fontId="7" fillId="2" borderId="60" xfId="1" applyNumberFormat="1" applyFont="1" applyFill="1" applyBorder="1" applyAlignment="1">
      <alignment horizontal="right"/>
    </xf>
    <xf numFmtId="38" fontId="7" fillId="5" borderId="27" xfId="0" applyNumberFormat="1" applyFont="1" applyFill="1" applyBorder="1" applyAlignment="1">
      <alignment horizontal="right"/>
    </xf>
    <xf numFmtId="165" fontId="7" fillId="5" borderId="27" xfId="1" applyNumberFormat="1" applyFont="1" applyFill="1" applyBorder="1" applyAlignment="1">
      <alignment horizontal="right"/>
    </xf>
    <xf numFmtId="166" fontId="7" fillId="5" borderId="27" xfId="2" applyNumberFormat="1" applyFont="1" applyFill="1" applyBorder="1" applyAlignment="1">
      <alignment horizontal="right"/>
    </xf>
    <xf numFmtId="38" fontId="7" fillId="5" borderId="40" xfId="0" applyNumberFormat="1" applyFont="1" applyFill="1" applyBorder="1" applyAlignment="1">
      <alignment horizontal="right"/>
    </xf>
    <xf numFmtId="38" fontId="7" fillId="11" borderId="40" xfId="0" applyNumberFormat="1" applyFont="1" applyFill="1" applyBorder="1" applyAlignment="1">
      <alignment horizontal="right"/>
    </xf>
    <xf numFmtId="0" fontId="7" fillId="5" borderId="27" xfId="0" applyFont="1" applyFill="1" applyBorder="1"/>
    <xf numFmtId="38" fontId="7" fillId="20" borderId="27" xfId="0" applyNumberFormat="1" applyFont="1" applyFill="1" applyBorder="1" applyAlignment="1">
      <alignment horizontal="right"/>
    </xf>
    <xf numFmtId="166" fontId="7" fillId="0" borderId="0" xfId="2" applyNumberFormat="1" applyFont="1" applyFill="1" applyBorder="1"/>
    <xf numFmtId="38" fontId="0" fillId="0" borderId="0" xfId="0" applyNumberFormat="1" applyFill="1" applyBorder="1" applyAlignment="1">
      <alignment horizontal="right"/>
    </xf>
    <xf numFmtId="38" fontId="7" fillId="5" borderId="56" xfId="0" applyNumberFormat="1" applyFont="1" applyFill="1" applyBorder="1" applyAlignment="1">
      <alignment horizontal="right"/>
    </xf>
    <xf numFmtId="38" fontId="7" fillId="2" borderId="22" xfId="0" applyNumberFormat="1" applyFont="1" applyFill="1" applyBorder="1" applyAlignment="1">
      <alignment horizontal="center"/>
    </xf>
    <xf numFmtId="38" fontId="10" fillId="2" borderId="22" xfId="0" applyNumberFormat="1" applyFont="1" applyFill="1" applyBorder="1" applyAlignment="1">
      <alignment horizontal="center"/>
    </xf>
    <xf numFmtId="38" fontId="10" fillId="2" borderId="21" xfId="0" applyNumberFormat="1" applyFont="1" applyFill="1" applyBorder="1" applyAlignment="1">
      <alignment horizontal="center"/>
    </xf>
    <xf numFmtId="38" fontId="7" fillId="0" borderId="41" xfId="0" applyNumberFormat="1" applyFont="1" applyBorder="1" applyAlignment="1">
      <alignment horizontal="right"/>
    </xf>
    <xf numFmtId="40" fontId="7" fillId="0" borderId="0" xfId="0" applyNumberFormat="1" applyFont="1" applyAlignment="1">
      <alignment horizontal="center"/>
    </xf>
    <xf numFmtId="38" fontId="7" fillId="0" borderId="22" xfId="0" applyNumberFormat="1" applyFont="1" applyBorder="1" applyAlignment="1">
      <alignment horizontal="right"/>
    </xf>
    <xf numFmtId="166" fontId="7" fillId="7" borderId="34" xfId="2" applyNumberFormat="1" applyFont="1" applyFill="1" applyBorder="1" applyAlignment="1">
      <alignment horizontal="right"/>
    </xf>
    <xf numFmtId="38" fontId="11" fillId="0" borderId="0" xfId="2" applyNumberFormat="1" applyFont="1" applyBorder="1" applyAlignment="1">
      <alignment horizontal="left"/>
    </xf>
    <xf numFmtId="38" fontId="7" fillId="2" borderId="26" xfId="0" applyNumberFormat="1" applyFont="1" applyFill="1" applyBorder="1" applyAlignment="1">
      <alignment horizontal="right"/>
    </xf>
    <xf numFmtId="38" fontId="30" fillId="5" borderId="27" xfId="0" applyNumberFormat="1" applyFont="1" applyFill="1" applyBorder="1" applyAlignment="1">
      <alignment horizontal="right"/>
    </xf>
  </cellXfs>
  <cellStyles count="5">
    <cellStyle name="Comma" xfId="2" builtinId="3"/>
    <cellStyle name="Comma 2" xfId="3"/>
    <cellStyle name="Currency" xfId="1" builtinId="4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FCCFF"/>
      <color rgb="FFFCE4D6"/>
      <color rgb="FFC6E0B4"/>
      <color rgb="FFCCFFCC"/>
      <color rgb="FFFFCC99"/>
      <color rgb="FFBDD7EE"/>
      <color rgb="FFD6DCE4"/>
      <color rgb="FFFFFF00"/>
      <color rgb="FFFFFFCC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3.xml"/><Relationship Id="rId12" Type="http://schemas.openxmlformats.org/officeDocument/2006/relationships/externalLink" Target="externalLinks/externalLink4.xml"/><Relationship Id="rId13" Type="http://schemas.openxmlformats.org/officeDocument/2006/relationships/externalLink" Target="externalLinks/externalLink5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592667</xdr:colOff>
      <xdr:row>0</xdr:row>
      <xdr:rowOff>137583</xdr:rowOff>
    </xdr:from>
    <xdr:ext cx="1968500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E19D3BCB-2DD6-4263-A37C-2F6B6775747E}"/>
            </a:ext>
          </a:extLst>
        </xdr:cNvPr>
        <xdr:cNvSpPr txBox="1"/>
      </xdr:nvSpPr>
      <xdr:spPr>
        <a:xfrm>
          <a:off x="17642417" y="137583"/>
          <a:ext cx="1968500" cy="95346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Leigh the amounts you enter in the three columns for 2022, 2023 &amp; 2024 will alutomaticly flow to the Summary P&amp;L worksheet.  </a:t>
          </a:r>
        </a:p>
      </xdr:txBody>
    </xdr:sp>
    <xdr:clientData/>
  </xdr:oneCellAnchor>
  <xdr:twoCellAnchor>
    <xdr:from>
      <xdr:col>26</xdr:col>
      <xdr:colOff>137585</xdr:colOff>
      <xdr:row>1</xdr:row>
      <xdr:rowOff>179917</xdr:rowOff>
    </xdr:from>
    <xdr:to>
      <xdr:col>26</xdr:col>
      <xdr:colOff>592669</xdr:colOff>
      <xdr:row>3</xdr:row>
      <xdr:rowOff>137584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xmlns="" id="{94F88F03-EB5E-4B3C-B0C7-312530C69B97}"/>
            </a:ext>
          </a:extLst>
        </xdr:cNvPr>
        <xdr:cNvSpPr/>
      </xdr:nvSpPr>
      <xdr:spPr>
        <a:xfrm>
          <a:off x="17187335" y="423334"/>
          <a:ext cx="455084" cy="44450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21</xdr:row>
      <xdr:rowOff>180975</xdr:rowOff>
    </xdr:from>
    <xdr:to>
      <xdr:col>11</xdr:col>
      <xdr:colOff>209550</xdr:colOff>
      <xdr:row>23</xdr:row>
      <xdr:rowOff>180975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8353425" y="4019550"/>
          <a:ext cx="295275" cy="381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990600</xdr:colOff>
      <xdr:row>10</xdr:row>
      <xdr:rowOff>85725</xdr:rowOff>
    </xdr:from>
    <xdr:to>
      <xdr:col>10</xdr:col>
      <xdr:colOff>561975</xdr:colOff>
      <xdr:row>21</xdr:row>
      <xdr:rowOff>28575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>
          <a:off x="7791450" y="1800225"/>
          <a:ext cx="600075" cy="2057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971550</xdr:colOff>
      <xdr:row>11</xdr:row>
      <xdr:rowOff>133350</xdr:rowOff>
    </xdr:from>
    <xdr:to>
      <xdr:col>12</xdr:col>
      <xdr:colOff>57150</xdr:colOff>
      <xdr:row>22</xdr:row>
      <xdr:rowOff>19050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>
          <a:off x="8001000" y="2257425"/>
          <a:ext cx="1009650" cy="2000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990600</xdr:colOff>
      <xdr:row>12</xdr:row>
      <xdr:rowOff>152400</xdr:rowOff>
    </xdr:from>
    <xdr:to>
      <xdr:col>10</xdr:col>
      <xdr:colOff>428625</xdr:colOff>
      <xdr:row>24</xdr:row>
      <xdr:rowOff>95250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>
          <a:off x="7791450" y="2247900"/>
          <a:ext cx="466725" cy="2257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4921/AppData/Local/Microsoft/Windows/INetCache/Content.Outlook/CCMGTL46/EST%202019%20BUD%202020%20DLS%20update%2012.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ieland/AppData/Local/Microsoft/Windows/Temporary%20Internet%20Files/Content.Outlook/FEC76MO8/JAST/Update%20of%20Dec%202020%20BOD%20BS%20PL%20highlights%20ACT%202019%20and%20REV%20Bud%202020%20with%20PPP%20max%20only%20virtual%20events%20drop%20in%20membershi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4921/AppData/Local/Microsoft/Windows/INetCache/Content.Outlook/UUV7VNG1/Final%202018%20VS%20EST%202018R4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ieland/AppData/Local/Microsoft/Windows/Temporary%20Internet%20Files/Content.Outlook/FEC76MO8/Proposed%20Investment%20Budget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ieland/AppData/Local/Microsoft/Windows/Temporary%20Internet%20Files/Content.Outlook/FEC76MO8/BS%20PL%20highlights%20Oct%202018%20and%20Bud%202019%20as%20of%20Nov%202018%20with%20LW%20and%20DLS%20updates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 2019"/>
      <sheetName val="2020 BUD"/>
    </sheetNames>
    <sheetDataSet>
      <sheetData sheetId="0">
        <row r="5">
          <cell r="E5">
            <v>100000</v>
          </cell>
        </row>
        <row r="13">
          <cell r="M13">
            <v>0</v>
          </cell>
        </row>
        <row r="74">
          <cell r="M74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sign events"/>
      <sheetName val="ACT 2019"/>
      <sheetName val="REV Bud 2020"/>
      <sheetName val="ACT 2018"/>
      <sheetName val="Bud 2019"/>
    </sheetNames>
    <sheetDataSet>
      <sheetData sheetId="0"/>
      <sheetData sheetId="1"/>
      <sheetData sheetId="2"/>
      <sheetData sheetId="3">
        <row r="5">
          <cell r="E5">
            <v>100000</v>
          </cell>
          <cell r="N5">
            <v>105429</v>
          </cell>
          <cell r="Q5">
            <v>111822</v>
          </cell>
        </row>
        <row r="8">
          <cell r="M8">
            <v>15000</v>
          </cell>
          <cell r="P8">
            <v>15000</v>
          </cell>
        </row>
        <row r="9">
          <cell r="M9">
            <v>30000</v>
          </cell>
          <cell r="P9">
            <v>30000</v>
          </cell>
        </row>
        <row r="10">
          <cell r="P10">
            <v>0</v>
          </cell>
        </row>
        <row r="13">
          <cell r="D13">
            <v>121000</v>
          </cell>
          <cell r="M13">
            <v>119362</v>
          </cell>
          <cell r="P13">
            <v>119362</v>
          </cell>
        </row>
        <row r="14">
          <cell r="D14">
            <v>2500</v>
          </cell>
          <cell r="M14">
            <v>2500</v>
          </cell>
          <cell r="P14">
            <v>2500</v>
          </cell>
        </row>
        <row r="15">
          <cell r="D15">
            <v>70000</v>
          </cell>
          <cell r="M15">
            <v>63211</v>
          </cell>
          <cell r="P15">
            <v>63211</v>
          </cell>
        </row>
        <row r="16">
          <cell r="D16">
            <v>20000</v>
          </cell>
          <cell r="M16">
            <v>20000</v>
          </cell>
          <cell r="P16">
            <v>20000</v>
          </cell>
        </row>
        <row r="17">
          <cell r="D17">
            <v>0</v>
          </cell>
          <cell r="M17">
            <v>0</v>
          </cell>
          <cell r="P17">
            <v>0</v>
          </cell>
        </row>
        <row r="18">
          <cell r="D18">
            <v>23000</v>
          </cell>
          <cell r="M18">
            <v>16925</v>
          </cell>
          <cell r="P18">
            <v>16925</v>
          </cell>
        </row>
        <row r="19">
          <cell r="D19">
            <v>12500</v>
          </cell>
          <cell r="M19">
            <v>11660</v>
          </cell>
          <cell r="P19">
            <v>10812</v>
          </cell>
        </row>
        <row r="20">
          <cell r="D20">
            <v>0</v>
          </cell>
          <cell r="M20">
            <v>0</v>
          </cell>
          <cell r="P20">
            <v>0</v>
          </cell>
        </row>
        <row r="21">
          <cell r="D21">
            <v>15000</v>
          </cell>
          <cell r="M21">
            <v>16840</v>
          </cell>
          <cell r="P21">
            <v>16660</v>
          </cell>
        </row>
        <row r="22">
          <cell r="D22">
            <v>5000</v>
          </cell>
          <cell r="M22">
            <v>5419</v>
          </cell>
          <cell r="P22">
            <v>5419</v>
          </cell>
        </row>
        <row r="23">
          <cell r="D23">
            <v>3000</v>
          </cell>
          <cell r="M23">
            <v>0</v>
          </cell>
          <cell r="P23">
            <v>0</v>
          </cell>
        </row>
        <row r="25">
          <cell r="D25">
            <v>500</v>
          </cell>
          <cell r="M25">
            <v>67</v>
          </cell>
          <cell r="P25">
            <v>29</v>
          </cell>
        </row>
        <row r="31">
          <cell r="D31">
            <v>71000</v>
          </cell>
          <cell r="M31">
            <v>75244.929999999993</v>
          </cell>
          <cell r="P31">
            <v>73995</v>
          </cell>
        </row>
        <row r="32">
          <cell r="D32">
            <v>2500</v>
          </cell>
          <cell r="M32">
            <v>2500</v>
          </cell>
          <cell r="P32">
            <v>2500</v>
          </cell>
        </row>
        <row r="33">
          <cell r="D33">
            <v>50000</v>
          </cell>
          <cell r="M33">
            <v>45365</v>
          </cell>
          <cell r="P33">
            <v>45365</v>
          </cell>
        </row>
        <row r="34">
          <cell r="M34">
            <v>20301.559999999998</v>
          </cell>
          <cell r="P34">
            <v>20302</v>
          </cell>
        </row>
        <row r="35">
          <cell r="M35">
            <v>0</v>
          </cell>
          <cell r="P35">
            <v>0</v>
          </cell>
        </row>
        <row r="36">
          <cell r="M36">
            <v>10831</v>
          </cell>
          <cell r="P36">
            <v>10831</v>
          </cell>
        </row>
        <row r="37">
          <cell r="M37">
            <v>15104.279999999999</v>
          </cell>
          <cell r="P37">
            <v>15588</v>
          </cell>
        </row>
        <row r="38">
          <cell r="M38">
            <v>483.22</v>
          </cell>
          <cell r="P38">
            <v>0</v>
          </cell>
        </row>
        <row r="39">
          <cell r="M39">
            <v>0</v>
          </cell>
          <cell r="P39">
            <v>0</v>
          </cell>
        </row>
        <row r="40">
          <cell r="M40">
            <v>1808</v>
          </cell>
          <cell r="P40">
            <v>1808</v>
          </cell>
        </row>
        <row r="41">
          <cell r="M41">
            <v>13790.22</v>
          </cell>
          <cell r="P41">
            <v>13790</v>
          </cell>
        </row>
        <row r="42">
          <cell r="M42">
            <v>133</v>
          </cell>
          <cell r="P42">
            <v>143</v>
          </cell>
        </row>
        <row r="47">
          <cell r="M47">
            <v>2387</v>
          </cell>
          <cell r="P47">
            <v>2387</v>
          </cell>
        </row>
        <row r="51">
          <cell r="M51">
            <v>6968</v>
          </cell>
          <cell r="P51">
            <v>7057</v>
          </cell>
        </row>
        <row r="52">
          <cell r="M52">
            <v>1835.74</v>
          </cell>
          <cell r="P52">
            <v>239</v>
          </cell>
        </row>
        <row r="53">
          <cell r="M53">
            <v>5493.83</v>
          </cell>
          <cell r="P53">
            <v>5869</v>
          </cell>
        </row>
        <row r="54">
          <cell r="M54">
            <v>1595.04</v>
          </cell>
          <cell r="P54">
            <v>1611</v>
          </cell>
        </row>
        <row r="55">
          <cell r="M55">
            <v>13911.26</v>
          </cell>
          <cell r="P55">
            <v>16530</v>
          </cell>
        </row>
        <row r="56">
          <cell r="M56">
            <v>2752</v>
          </cell>
          <cell r="P56">
            <v>2751</v>
          </cell>
        </row>
        <row r="57">
          <cell r="M57">
            <v>1105.42</v>
          </cell>
          <cell r="P57">
            <v>1210</v>
          </cell>
        </row>
        <row r="58">
          <cell r="M58">
            <v>817.34</v>
          </cell>
          <cell r="P58">
            <v>877</v>
          </cell>
        </row>
        <row r="59">
          <cell r="M59">
            <v>4287.96</v>
          </cell>
          <cell r="P59">
            <v>4168</v>
          </cell>
        </row>
        <row r="60">
          <cell r="M60">
            <v>330.65999999999985</v>
          </cell>
          <cell r="P60">
            <v>2051</v>
          </cell>
        </row>
        <row r="61">
          <cell r="M61">
            <v>1802</v>
          </cell>
          <cell r="P61">
            <v>1088</v>
          </cell>
        </row>
        <row r="62">
          <cell r="M62">
            <v>0</v>
          </cell>
          <cell r="P62">
            <v>634</v>
          </cell>
        </row>
        <row r="64">
          <cell r="M64">
            <v>66378</v>
          </cell>
          <cell r="P64">
            <v>66378</v>
          </cell>
        </row>
        <row r="65">
          <cell r="M65">
            <v>16866.68</v>
          </cell>
          <cell r="P65">
            <v>16867</v>
          </cell>
        </row>
        <row r="66">
          <cell r="M66">
            <v>91622</v>
          </cell>
          <cell r="P66">
            <v>91624</v>
          </cell>
        </row>
        <row r="67">
          <cell r="M67">
            <v>11549</v>
          </cell>
          <cell r="P67">
            <v>11614</v>
          </cell>
        </row>
        <row r="68">
          <cell r="M68">
            <v>14320</v>
          </cell>
          <cell r="P68">
            <v>14548</v>
          </cell>
        </row>
        <row r="69">
          <cell r="M69">
            <v>2562.7200000000003</v>
          </cell>
          <cell r="P69">
            <v>2518</v>
          </cell>
        </row>
        <row r="70">
          <cell r="P70">
            <v>0</v>
          </cell>
        </row>
        <row r="75">
          <cell r="Q75">
            <v>-5167</v>
          </cell>
        </row>
        <row r="76">
          <cell r="N76">
            <v>91000</v>
          </cell>
          <cell r="Q76">
            <v>105166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ff Actual VS EST 2018"/>
      <sheetName val="Bank Rec Voids"/>
      <sheetName val="Estimated 2018"/>
      <sheetName val="Revised 2019 Budget"/>
      <sheetName val="Dec Aproved 2019 Budget"/>
    </sheetNames>
    <sheetDataSet>
      <sheetData sheetId="0">
        <row r="4">
          <cell r="F4">
            <v>88239</v>
          </cell>
        </row>
        <row r="7">
          <cell r="E7">
            <v>60000</v>
          </cell>
        </row>
        <row r="8">
          <cell r="E8">
            <v>1334</v>
          </cell>
        </row>
        <row r="13">
          <cell r="E13">
            <v>136535</v>
          </cell>
        </row>
        <row r="14">
          <cell r="E14">
            <v>77439</v>
          </cell>
        </row>
        <row r="15">
          <cell r="E15">
            <v>20000</v>
          </cell>
        </row>
        <row r="16">
          <cell r="E16">
            <v>8000</v>
          </cell>
        </row>
        <row r="17">
          <cell r="E17">
            <v>12300</v>
          </cell>
        </row>
        <row r="18">
          <cell r="E18">
            <v>15738</v>
          </cell>
        </row>
        <row r="19">
          <cell r="E19">
            <v>750</v>
          </cell>
        </row>
        <row r="20">
          <cell r="E20">
            <v>20414</v>
          </cell>
        </row>
        <row r="21">
          <cell r="E21">
            <v>2500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37</v>
          </cell>
        </row>
        <row r="25">
          <cell r="E25">
            <v>2500</v>
          </cell>
        </row>
        <row r="31">
          <cell r="E31">
            <v>86165</v>
          </cell>
        </row>
        <row r="32">
          <cell r="E32">
            <v>55798</v>
          </cell>
        </row>
        <row r="33">
          <cell r="E33">
            <v>20000</v>
          </cell>
        </row>
        <row r="34">
          <cell r="E34">
            <v>11896</v>
          </cell>
        </row>
        <row r="35">
          <cell r="E35">
            <v>2775</v>
          </cell>
        </row>
        <row r="36">
          <cell r="E36">
            <v>19250</v>
          </cell>
        </row>
        <row r="37">
          <cell r="E37">
            <v>8191</v>
          </cell>
        </row>
        <row r="38">
          <cell r="E38">
            <v>0</v>
          </cell>
        </row>
        <row r="39">
          <cell r="E39">
            <v>1500</v>
          </cell>
        </row>
        <row r="40">
          <cell r="E40">
            <v>14047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2543</v>
          </cell>
        </row>
        <row r="48">
          <cell r="E48">
            <v>119</v>
          </cell>
        </row>
        <row r="52">
          <cell r="E52">
            <v>4533</v>
          </cell>
        </row>
        <row r="53">
          <cell r="E53">
            <v>2444</v>
          </cell>
        </row>
        <row r="54">
          <cell r="E54">
            <v>1306</v>
          </cell>
        </row>
        <row r="55">
          <cell r="E55">
            <v>1511</v>
          </cell>
        </row>
        <row r="56">
          <cell r="E56">
            <v>3988</v>
          </cell>
        </row>
        <row r="57">
          <cell r="E57">
            <v>0</v>
          </cell>
        </row>
        <row r="58">
          <cell r="E58">
            <v>842</v>
          </cell>
        </row>
        <row r="59">
          <cell r="E59">
            <v>66</v>
          </cell>
        </row>
        <row r="60">
          <cell r="E60">
            <v>-64</v>
          </cell>
        </row>
        <row r="61">
          <cell r="E61">
            <v>2348</v>
          </cell>
        </row>
        <row r="62">
          <cell r="E62">
            <v>0</v>
          </cell>
        </row>
        <row r="65">
          <cell r="E65">
            <v>65077</v>
          </cell>
        </row>
        <row r="66">
          <cell r="E66">
            <v>54686</v>
          </cell>
        </row>
        <row r="67">
          <cell r="E67">
            <v>61034</v>
          </cell>
        </row>
        <row r="68">
          <cell r="E68">
            <v>6121</v>
          </cell>
        </row>
        <row r="69">
          <cell r="E69">
            <v>16498</v>
          </cell>
        </row>
        <row r="70">
          <cell r="E70">
            <v>2892</v>
          </cell>
        </row>
        <row r="71">
          <cell r="E71">
            <v>25000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 Recap"/>
      <sheetName val="EST 2016"/>
      <sheetName val="2017 Bud adj expanded"/>
      <sheetName val="2016 Bud adj SUM"/>
      <sheetName val="2015 ACT"/>
      <sheetName val="2015Bud  adj"/>
      <sheetName val="Sheet3"/>
    </sheetNames>
    <sheetDataSet>
      <sheetData sheetId="0"/>
      <sheetData sheetId="1"/>
      <sheetData sheetId="2"/>
      <sheetData sheetId="3"/>
      <sheetData sheetId="4">
        <row r="13">
          <cell r="P13">
            <v>20000</v>
          </cell>
        </row>
        <row r="27">
          <cell r="P27">
            <v>20000</v>
          </cell>
        </row>
        <row r="36">
          <cell r="P36">
            <v>750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sign events"/>
      <sheetName val="EST 2018"/>
      <sheetName val="Bud 2019"/>
      <sheetName val="ACT 2017"/>
      <sheetName val="Bud 2018"/>
    </sheetNames>
    <sheetDataSet>
      <sheetData sheetId="0"/>
      <sheetData sheetId="1"/>
      <sheetData sheetId="2"/>
      <sheetData sheetId="3">
        <row r="5">
          <cell r="N5">
            <v>88739</v>
          </cell>
        </row>
        <row r="46">
          <cell r="M46">
            <v>0</v>
          </cell>
        </row>
        <row r="87">
          <cell r="N87">
            <v>25000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W35"/>
  <sheetViews>
    <sheetView zoomScale="40" zoomScaleNormal="40" zoomScalePageLayoutView="40" workbookViewId="0">
      <selection activeCell="W6" sqref="W6"/>
    </sheetView>
  </sheetViews>
  <sheetFormatPr baseColWidth="10" defaultColWidth="8.83203125" defaultRowHeight="14" x14ac:dyDescent="0"/>
  <cols>
    <col min="2" max="2" width="103" style="30" customWidth="1"/>
    <col min="4" max="4" width="8.5" customWidth="1"/>
    <col min="5" max="5" width="24.33203125" customWidth="1"/>
    <col min="6" max="6" width="8.83203125" customWidth="1"/>
    <col min="7" max="7" width="38.6640625" hidden="1" customWidth="1"/>
    <col min="8" max="8" width="4.5" hidden="1" customWidth="1"/>
    <col min="9" max="9" width="34.5" hidden="1" customWidth="1"/>
    <col min="10" max="10" width="4.1640625" hidden="1" customWidth="1"/>
    <col min="11" max="11" width="0" hidden="1" customWidth="1"/>
    <col min="12" max="12" width="34.5" customWidth="1"/>
    <col min="13" max="13" width="10.6640625" customWidth="1"/>
    <col min="14" max="14" width="40.83203125" customWidth="1"/>
    <col min="15" max="15" width="0" hidden="1" customWidth="1"/>
    <col min="16" max="17" width="40.83203125" customWidth="1"/>
    <col min="19" max="19" width="40.83203125" customWidth="1"/>
    <col min="21" max="21" width="40.83203125" customWidth="1"/>
    <col min="23" max="23" width="40.83203125" customWidth="1"/>
  </cols>
  <sheetData>
    <row r="3" spans="2:23" ht="60">
      <c r="B3" s="235" t="s">
        <v>94</v>
      </c>
    </row>
    <row r="4" spans="2:23" ht="15" thickBot="1">
      <c r="G4" s="1"/>
      <c r="H4" s="1"/>
      <c r="I4" s="1"/>
      <c r="L4" s="1"/>
      <c r="M4" s="1"/>
    </row>
    <row r="5" spans="2:23" ht="45">
      <c r="B5" s="31"/>
      <c r="C5" s="2"/>
      <c r="D5" s="2"/>
      <c r="E5" s="14"/>
      <c r="G5" s="29" t="s">
        <v>5</v>
      </c>
      <c r="H5" s="12"/>
      <c r="I5" s="34" t="s">
        <v>15</v>
      </c>
      <c r="J5" s="232"/>
      <c r="L5" s="170"/>
      <c r="M5" s="233"/>
      <c r="N5" s="170" t="s">
        <v>100</v>
      </c>
      <c r="P5" s="170" t="s">
        <v>126</v>
      </c>
      <c r="Q5" s="170" t="s">
        <v>127</v>
      </c>
      <c r="S5" s="170" t="s">
        <v>127</v>
      </c>
      <c r="U5" s="170" t="s">
        <v>161</v>
      </c>
      <c r="W5" s="170" t="s">
        <v>161</v>
      </c>
    </row>
    <row r="6" spans="2:23" ht="45">
      <c r="B6" s="31"/>
      <c r="C6" s="2"/>
      <c r="D6" s="2"/>
      <c r="E6" s="15" t="s">
        <v>0</v>
      </c>
      <c r="G6" s="13" t="s">
        <v>6</v>
      </c>
      <c r="H6" s="1"/>
      <c r="I6" s="3" t="s">
        <v>1</v>
      </c>
      <c r="J6" s="1"/>
      <c r="L6" s="15" t="s">
        <v>0</v>
      </c>
      <c r="M6" s="15"/>
      <c r="N6" s="171" t="s">
        <v>95</v>
      </c>
      <c r="P6" s="171" t="s">
        <v>93</v>
      </c>
      <c r="Q6" s="171" t="s">
        <v>1</v>
      </c>
      <c r="S6" s="171" t="s">
        <v>95</v>
      </c>
      <c r="U6" s="171" t="s">
        <v>162</v>
      </c>
      <c r="W6" s="171" t="s">
        <v>180</v>
      </c>
    </row>
    <row r="7" spans="2:23" ht="45">
      <c r="B7" s="31"/>
      <c r="C7" s="2"/>
      <c r="D7" s="2"/>
      <c r="E7" s="16" t="s">
        <v>4</v>
      </c>
      <c r="G7" s="4" t="s">
        <v>4</v>
      </c>
      <c r="H7" s="1"/>
      <c r="I7" s="5" t="s">
        <v>4</v>
      </c>
      <c r="J7" s="1"/>
      <c r="L7" s="16" t="s">
        <v>4</v>
      </c>
      <c r="M7" s="16"/>
      <c r="N7" s="16" t="s">
        <v>4</v>
      </c>
      <c r="P7" s="16" t="s">
        <v>4</v>
      </c>
      <c r="Q7" s="16" t="s">
        <v>4</v>
      </c>
      <c r="S7" s="16" t="s">
        <v>4</v>
      </c>
      <c r="U7" s="16" t="s">
        <v>4</v>
      </c>
      <c r="W7" s="16" t="s">
        <v>4</v>
      </c>
    </row>
    <row r="8" spans="2:23" ht="45">
      <c r="B8" s="31"/>
      <c r="C8" s="2"/>
      <c r="D8" s="2"/>
      <c r="E8" s="33">
        <v>2017</v>
      </c>
      <c r="G8" s="27">
        <v>2017</v>
      </c>
      <c r="H8" s="1"/>
      <c r="I8" s="28">
        <v>2017</v>
      </c>
      <c r="J8" s="1"/>
      <c r="L8" s="230">
        <v>2018</v>
      </c>
      <c r="M8" s="236"/>
      <c r="N8" s="227">
        <v>2019</v>
      </c>
      <c r="P8" s="227">
        <v>2019</v>
      </c>
      <c r="Q8" s="227">
        <v>2019</v>
      </c>
      <c r="S8" s="226">
        <v>2020</v>
      </c>
      <c r="U8" s="226">
        <v>2020</v>
      </c>
      <c r="W8" s="226">
        <v>2020</v>
      </c>
    </row>
    <row r="9" spans="2:23" ht="45">
      <c r="B9" s="31"/>
      <c r="C9" s="2"/>
      <c r="D9" s="2"/>
      <c r="E9" s="17" t="s">
        <v>2</v>
      </c>
      <c r="G9" s="6" t="s">
        <v>2</v>
      </c>
      <c r="H9" s="1"/>
      <c r="I9" s="7" t="s">
        <v>2</v>
      </c>
      <c r="J9" s="1"/>
      <c r="L9" s="17" t="s">
        <v>2</v>
      </c>
      <c r="M9" s="17"/>
      <c r="N9" s="17" t="s">
        <v>2</v>
      </c>
      <c r="P9" s="17" t="s">
        <v>2</v>
      </c>
      <c r="Q9" s="17" t="s">
        <v>2</v>
      </c>
      <c r="S9" s="17" t="s">
        <v>2</v>
      </c>
      <c r="U9" s="17" t="s">
        <v>2</v>
      </c>
      <c r="W9" s="17" t="s">
        <v>2</v>
      </c>
    </row>
    <row r="10" spans="2:23" ht="45">
      <c r="B10" s="31"/>
      <c r="C10" s="2"/>
      <c r="D10" s="2"/>
      <c r="E10" s="24" t="s">
        <v>14</v>
      </c>
      <c r="G10" s="25" t="s">
        <v>14</v>
      </c>
      <c r="H10" s="1"/>
      <c r="I10" s="26" t="s">
        <v>14</v>
      </c>
      <c r="J10" s="1"/>
      <c r="L10" s="24" t="s">
        <v>14</v>
      </c>
      <c r="M10" s="24"/>
      <c r="N10" s="24" t="s">
        <v>14</v>
      </c>
      <c r="P10" s="24" t="s">
        <v>14</v>
      </c>
      <c r="Q10" s="24" t="s">
        <v>14</v>
      </c>
      <c r="S10" s="24" t="s">
        <v>14</v>
      </c>
      <c r="U10" s="24" t="s">
        <v>14</v>
      </c>
      <c r="W10" s="24" t="s">
        <v>14</v>
      </c>
    </row>
    <row r="11" spans="2:23" ht="46.25" customHeight="1">
      <c r="B11" s="32" t="e">
        <f>+#REF!</f>
        <v>#REF!</v>
      </c>
      <c r="D11" s="21"/>
      <c r="E11" s="237" t="e">
        <f>+#REF!</f>
        <v>#REF!</v>
      </c>
      <c r="F11" s="21"/>
      <c r="G11" s="8">
        <v>32</v>
      </c>
      <c r="H11" s="21"/>
      <c r="I11" s="9">
        <f>+('ACT 2018'!K13-'ACT 2018'!K31)/1000</f>
        <v>0</v>
      </c>
      <c r="J11" s="1"/>
      <c r="K11" s="18"/>
      <c r="L11" s="237" t="e">
        <f>+#REF!</f>
        <v>#REF!</v>
      </c>
      <c r="M11" s="18"/>
      <c r="N11" s="237" t="e">
        <f>+#REF!</f>
        <v>#REF!</v>
      </c>
      <c r="O11" s="18"/>
      <c r="P11" s="237" t="e">
        <f>+#REF!</f>
        <v>#REF!</v>
      </c>
      <c r="Q11" s="237" t="e">
        <f>+#REF!</f>
        <v>#REF!</v>
      </c>
      <c r="R11" s="18"/>
      <c r="S11" s="237" t="e">
        <f>+#REF!</f>
        <v>#REF!</v>
      </c>
      <c r="U11" s="237" t="e">
        <f>+#REF!</f>
        <v>#REF!</v>
      </c>
      <c r="W11" s="237" t="e">
        <f>+#REF!</f>
        <v>#REF!</v>
      </c>
    </row>
    <row r="12" spans="2:23" ht="46.25" customHeight="1">
      <c r="B12" s="32" t="e">
        <f>+#REF!</f>
        <v>#REF!</v>
      </c>
      <c r="D12" s="21"/>
      <c r="E12" s="18" t="e">
        <f>+#REF!</f>
        <v>#REF!</v>
      </c>
      <c r="F12" s="21"/>
      <c r="G12" s="8">
        <v>32</v>
      </c>
      <c r="H12" s="21"/>
      <c r="I12" s="9">
        <f>+('ACT 2018'!K14-'ACT 2018'!K32)/1000</f>
        <v>0</v>
      </c>
      <c r="J12" s="1"/>
      <c r="K12" s="18"/>
      <c r="L12" s="18" t="e">
        <f>+#REF!</f>
        <v>#REF!</v>
      </c>
      <c r="M12" s="18"/>
      <c r="N12" s="18" t="e">
        <f>+#REF!</f>
        <v>#REF!</v>
      </c>
      <c r="O12" s="18"/>
      <c r="P12" s="18" t="e">
        <f>+#REF!</f>
        <v>#REF!</v>
      </c>
      <c r="Q12" s="18" t="e">
        <f>+#REF!</f>
        <v>#REF!</v>
      </c>
      <c r="R12" s="18"/>
      <c r="S12" s="18" t="e">
        <f>+#REF!</f>
        <v>#REF!</v>
      </c>
      <c r="U12" s="18" t="e">
        <f>+#REF!</f>
        <v>#REF!</v>
      </c>
      <c r="W12" s="18" t="e">
        <f>+#REF!</f>
        <v>#REF!</v>
      </c>
    </row>
    <row r="13" spans="2:23" ht="46.25" customHeight="1">
      <c r="B13" s="32" t="e">
        <f>+#REF!</f>
        <v>#REF!</v>
      </c>
      <c r="D13" s="21"/>
      <c r="E13" s="18" t="e">
        <f>+#REF!</f>
        <v>#REF!</v>
      </c>
      <c r="F13" s="21"/>
      <c r="G13" s="8">
        <v>32</v>
      </c>
      <c r="H13" s="21"/>
      <c r="I13" s="9">
        <f>+('ACT 2018'!K16-'ACT 2018'!K34)/1000</f>
        <v>0</v>
      </c>
      <c r="J13" s="1"/>
      <c r="K13" s="18"/>
      <c r="L13" s="18" t="e">
        <f>+#REF!</f>
        <v>#REF!</v>
      </c>
      <c r="M13" s="18"/>
      <c r="N13" s="18" t="e">
        <f>+#REF!</f>
        <v>#REF!</v>
      </c>
      <c r="O13" s="18"/>
      <c r="P13" s="18" t="e">
        <f>+#REF!</f>
        <v>#REF!</v>
      </c>
      <c r="Q13" s="18" t="e">
        <f>+#REF!</f>
        <v>#REF!</v>
      </c>
      <c r="R13" s="18"/>
      <c r="S13" s="18" t="e">
        <f>+#REF!</f>
        <v>#REF!</v>
      </c>
      <c r="U13" s="18" t="e">
        <f>+#REF!</f>
        <v>#REF!</v>
      </c>
      <c r="W13" s="18" t="e">
        <f>+#REF!</f>
        <v>#REF!</v>
      </c>
    </row>
    <row r="14" spans="2:23" ht="46.25" customHeight="1">
      <c r="B14" s="32" t="e">
        <f>+#REF!</f>
        <v>#REF!</v>
      </c>
      <c r="D14" s="21"/>
      <c r="E14" s="18" t="e">
        <f>+#REF!</f>
        <v>#REF!</v>
      </c>
      <c r="F14" s="21"/>
      <c r="G14" s="8">
        <v>32</v>
      </c>
      <c r="H14" s="21"/>
      <c r="I14" s="9">
        <f>+('ACT 2018'!K17-'ACT 2018'!K35)/1000</f>
        <v>0</v>
      </c>
      <c r="J14" s="1"/>
      <c r="K14" s="18"/>
      <c r="L14" s="18" t="e">
        <f>+#REF!</f>
        <v>#REF!</v>
      </c>
      <c r="M14" s="18"/>
      <c r="N14" s="18" t="e">
        <f>+#REF!</f>
        <v>#REF!</v>
      </c>
      <c r="O14" s="18"/>
      <c r="P14" s="18" t="e">
        <f>+#REF!</f>
        <v>#REF!</v>
      </c>
      <c r="Q14" s="18" t="e">
        <f>+#REF!</f>
        <v>#REF!</v>
      </c>
      <c r="R14" s="18"/>
      <c r="S14" s="18" t="e">
        <f>+#REF!</f>
        <v>#REF!</v>
      </c>
      <c r="U14" s="18" t="e">
        <f>+#REF!</f>
        <v>#REF!</v>
      </c>
      <c r="W14" s="18" t="e">
        <f>+#REF!</f>
        <v>#REF!</v>
      </c>
    </row>
    <row r="15" spans="2:23" ht="46.25" customHeight="1">
      <c r="B15" s="32" t="e">
        <f>+#REF!</f>
        <v>#REF!</v>
      </c>
      <c r="D15" s="21"/>
      <c r="E15" s="18" t="e">
        <f>+#REF!</f>
        <v>#REF!</v>
      </c>
      <c r="F15" s="21"/>
      <c r="G15" s="8">
        <v>32</v>
      </c>
      <c r="H15" s="21"/>
      <c r="I15" s="9">
        <f>+('ACT 2018'!K18-'ACT 2018'!K36)/1000</f>
        <v>0</v>
      </c>
      <c r="J15" s="1"/>
      <c r="K15" s="18"/>
      <c r="L15" s="18" t="e">
        <f>+#REF!</f>
        <v>#REF!</v>
      </c>
      <c r="M15" s="18"/>
      <c r="N15" s="18" t="e">
        <f>+#REF!</f>
        <v>#REF!</v>
      </c>
      <c r="O15" s="18"/>
      <c r="P15" s="18" t="e">
        <f>+#REF!</f>
        <v>#REF!</v>
      </c>
      <c r="Q15" s="18" t="e">
        <f>+#REF!</f>
        <v>#REF!</v>
      </c>
      <c r="R15" s="18"/>
      <c r="S15" s="18" t="e">
        <f>+#REF!</f>
        <v>#REF!</v>
      </c>
      <c r="U15" s="18" t="e">
        <f>+#REF!</f>
        <v>#REF!</v>
      </c>
      <c r="W15" s="18" t="e">
        <f>+#REF!</f>
        <v>#REF!</v>
      </c>
    </row>
    <row r="16" spans="2:23" ht="48" customHeight="1">
      <c r="B16" s="32" t="e">
        <f>+#REF!</f>
        <v>#REF!</v>
      </c>
      <c r="D16" s="21"/>
      <c r="E16" s="18" t="e">
        <f>+#REF!</f>
        <v>#REF!</v>
      </c>
      <c r="F16" s="21"/>
      <c r="G16" s="8">
        <v>32</v>
      </c>
      <c r="H16" s="21"/>
      <c r="I16" s="9">
        <f>+('ACT 2018'!K19-'ACT 2018'!K37)/1000</f>
        <v>0</v>
      </c>
      <c r="J16" s="1"/>
      <c r="K16" s="18"/>
      <c r="L16" s="18" t="e">
        <f>+#REF!</f>
        <v>#REF!</v>
      </c>
      <c r="M16" s="18"/>
      <c r="N16" s="18" t="e">
        <f>+#REF!</f>
        <v>#REF!</v>
      </c>
      <c r="O16" s="18"/>
      <c r="P16" s="246" t="e">
        <f>+#REF!</f>
        <v>#REF!</v>
      </c>
      <c r="Q16" s="18" t="e">
        <f>+#REF!</f>
        <v>#REF!</v>
      </c>
      <c r="R16" s="18"/>
      <c r="S16" s="18" t="e">
        <f>+#REF!</f>
        <v>#REF!</v>
      </c>
      <c r="U16" s="18" t="e">
        <f>+#REF!</f>
        <v>#REF!</v>
      </c>
      <c r="W16" s="18" t="e">
        <f>+#REF!</f>
        <v>#REF!</v>
      </c>
    </row>
    <row r="17" spans="2:23" ht="46.25" customHeight="1">
      <c r="B17" s="32" t="e">
        <f>+#REF!</f>
        <v>#REF!</v>
      </c>
      <c r="D17" s="21"/>
      <c r="E17" s="18" t="e">
        <f>+#REF!</f>
        <v>#REF!</v>
      </c>
      <c r="F17" s="21"/>
      <c r="G17" s="8">
        <v>32</v>
      </c>
      <c r="H17" s="21"/>
      <c r="I17" s="9">
        <f>+('ACT 2018'!K20-'ACT 2018'!K38)/1000</f>
        <v>0</v>
      </c>
      <c r="J17" s="1"/>
      <c r="K17" s="18"/>
      <c r="L17" s="18" t="e">
        <f>+#REF!</f>
        <v>#REF!</v>
      </c>
      <c r="M17" s="18"/>
      <c r="N17" s="18" t="e">
        <f>+#REF!</f>
        <v>#REF!</v>
      </c>
      <c r="O17" s="18"/>
      <c r="P17" s="18" t="e">
        <f>+#REF!</f>
        <v>#REF!</v>
      </c>
      <c r="Q17" s="18" t="e">
        <f>+#REF!</f>
        <v>#REF!</v>
      </c>
      <c r="R17" s="18"/>
      <c r="S17" s="18" t="e">
        <f>+#REF!</f>
        <v>#REF!</v>
      </c>
      <c r="U17" s="18" t="e">
        <f>+#REF!</f>
        <v>#REF!</v>
      </c>
      <c r="W17" s="18" t="e">
        <f>+#REF!</f>
        <v>#REF!</v>
      </c>
    </row>
    <row r="18" spans="2:23" ht="46.25" customHeight="1">
      <c r="B18" s="32" t="e">
        <f>+#REF!</f>
        <v>#REF!</v>
      </c>
      <c r="D18" s="21"/>
      <c r="E18" s="18" t="e">
        <f>+#REF!</f>
        <v>#REF!</v>
      </c>
      <c r="F18" s="21"/>
      <c r="G18" s="8">
        <v>32</v>
      </c>
      <c r="H18" s="21"/>
      <c r="I18" s="9">
        <f>+('ACT 2018'!K21-'ACT 2018'!K39)/1000</f>
        <v>0</v>
      </c>
      <c r="J18" s="1"/>
      <c r="K18" s="18"/>
      <c r="L18" s="18" t="e">
        <f>+#REF!</f>
        <v>#REF!</v>
      </c>
      <c r="M18" s="18"/>
      <c r="N18" s="18" t="e">
        <f>+#REF!</f>
        <v>#REF!</v>
      </c>
      <c r="O18" s="18"/>
      <c r="P18" s="18" t="e">
        <f>+#REF!</f>
        <v>#REF!</v>
      </c>
      <c r="Q18" s="18" t="e">
        <f>+#REF!</f>
        <v>#REF!</v>
      </c>
      <c r="R18" s="18"/>
      <c r="S18" s="18" t="e">
        <f>+#REF!</f>
        <v>#REF!</v>
      </c>
      <c r="U18" s="18" t="e">
        <f>+#REF!</f>
        <v>#REF!</v>
      </c>
      <c r="W18" s="18" t="e">
        <f>+#REF!</f>
        <v>#REF!</v>
      </c>
    </row>
    <row r="19" spans="2:23" ht="46.25" customHeight="1" thickBot="1">
      <c r="B19" s="32" t="e">
        <f>+#REF!</f>
        <v>#REF!</v>
      </c>
      <c r="D19" s="21"/>
      <c r="E19" s="18"/>
      <c r="F19" s="21"/>
      <c r="G19" s="8"/>
      <c r="H19" s="21"/>
      <c r="I19" s="9"/>
      <c r="J19" s="1"/>
      <c r="K19" s="21"/>
      <c r="L19" s="18"/>
      <c r="M19" s="18"/>
      <c r="N19" s="18"/>
      <c r="O19" s="21"/>
      <c r="P19" s="18"/>
      <c r="Q19" s="18"/>
      <c r="R19" s="21"/>
      <c r="S19" s="18" t="e">
        <f>+#REF!</f>
        <v>#REF!</v>
      </c>
      <c r="U19" s="18" t="e">
        <f>+#REF!</f>
        <v>#REF!</v>
      </c>
      <c r="W19" s="18" t="e">
        <f>+#REF!</f>
        <v>#REF!</v>
      </c>
    </row>
    <row r="20" spans="2:23" ht="46.25" customHeight="1" thickTop="1" thickBot="1">
      <c r="B20" s="31"/>
      <c r="D20" s="20"/>
      <c r="E20" s="247" t="e">
        <f>SUM(E11:E19)</f>
        <v>#REF!</v>
      </c>
      <c r="F20" s="20"/>
      <c r="G20" s="22">
        <f>SUM(G11:G18)</f>
        <v>256</v>
      </c>
      <c r="H20" s="21"/>
      <c r="I20" s="23">
        <f>SUM(I11:I18)</f>
        <v>0</v>
      </c>
      <c r="J20" s="1"/>
      <c r="L20" s="247" t="e">
        <f>SUM(L11:L19)</f>
        <v>#REF!</v>
      </c>
      <c r="M20" s="18"/>
      <c r="N20" s="247" t="e">
        <f>SUM(N11:N19)</f>
        <v>#REF!</v>
      </c>
      <c r="O20" s="247">
        <f>SUM(O11:O19)</f>
        <v>0</v>
      </c>
      <c r="P20" s="247" t="e">
        <f>SUM(P11:P19)</f>
        <v>#REF!</v>
      </c>
      <c r="Q20" s="247" t="e">
        <f>SUM(Q11:Q19)</f>
        <v>#REF!</v>
      </c>
      <c r="S20" s="247" t="e">
        <f>SUM(S11:S19)</f>
        <v>#REF!</v>
      </c>
      <c r="U20" s="247" t="e">
        <f>SUM(U11:U19)</f>
        <v>#REF!</v>
      </c>
      <c r="W20" s="247" t="e">
        <f>SUM(W11:W19)</f>
        <v>#REF!</v>
      </c>
    </row>
    <row r="21" spans="2:23" ht="46.25" customHeight="1" thickTop="1" thickBot="1">
      <c r="B21" s="31"/>
      <c r="E21" s="19"/>
      <c r="G21" s="10"/>
      <c r="H21" s="11"/>
      <c r="I21" s="11"/>
      <c r="J21" s="232"/>
      <c r="L21" s="19"/>
      <c r="M21" s="231"/>
      <c r="N21" s="19"/>
      <c r="P21" s="19"/>
      <c r="Q21" s="19"/>
      <c r="S21" s="19"/>
      <c r="U21" s="19"/>
      <c r="W21" s="19"/>
    </row>
    <row r="22" spans="2:23" ht="46.25" customHeight="1">
      <c r="M22" s="1"/>
    </row>
    <row r="23" spans="2:23" ht="46.25" customHeight="1"/>
    <row r="24" spans="2:23" ht="46.25" customHeight="1"/>
    <row r="25" spans="2:23" ht="46.25" customHeight="1"/>
    <row r="26" spans="2:23" ht="46.25" customHeight="1"/>
    <row r="27" spans="2:23" ht="46.25" customHeight="1"/>
    <row r="28" spans="2:23" ht="46.25" customHeight="1"/>
    <row r="29" spans="2:23" ht="46.25" customHeight="1"/>
    <row r="30" spans="2:23" ht="46.25" customHeight="1"/>
    <row r="31" spans="2:23" ht="46.25" customHeight="1"/>
    <row r="32" spans="2:23" ht="46.25" customHeight="1"/>
    <row r="33" ht="46.25" customHeight="1"/>
    <row r="34" ht="46.25" customHeight="1"/>
    <row r="35" ht="46.25" customHeight="1"/>
  </sheetData>
  <printOptions gridLines="1"/>
  <pageMargins left="0.7" right="0.7" top="0.75" bottom="0.75" header="0.3" footer="0.3"/>
  <pageSetup paperSize="5" scale="3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zoomScale="85" zoomScaleNormal="85" zoomScalePageLayoutView="85" workbookViewId="0">
      <selection activeCell="C12" sqref="C12"/>
    </sheetView>
  </sheetViews>
  <sheetFormatPr baseColWidth="10" defaultColWidth="8.83203125" defaultRowHeight="14" x14ac:dyDescent="0"/>
  <cols>
    <col min="1" max="1" width="4" style="35" customWidth="1"/>
    <col min="2" max="2" width="25.1640625" style="169" customWidth="1"/>
    <col min="3" max="3" width="49.1640625" style="69" customWidth="1"/>
    <col min="4" max="4" width="12.33203125" style="165" customWidth="1"/>
    <col min="5" max="5" width="16.5" style="165" customWidth="1"/>
    <col min="6" max="6" width="4.1640625" style="59" customWidth="1"/>
    <col min="7" max="7" width="12.33203125" style="165" customWidth="1"/>
    <col min="8" max="8" width="14.33203125" style="165" customWidth="1"/>
    <col min="9" max="9" width="2.5" style="165" customWidth="1"/>
    <col min="10" max="10" width="12.33203125" style="165" customWidth="1"/>
    <col min="11" max="11" width="14.33203125" style="165" customWidth="1"/>
    <col min="12" max="12" width="2" style="165" customWidth="1"/>
    <col min="13" max="13" width="12.6640625" style="59" customWidth="1"/>
    <col min="14" max="14" width="13.6640625" style="59" customWidth="1"/>
    <col min="15" max="15" width="4.33203125" style="59" customWidth="1"/>
    <col min="16" max="16" width="12.6640625" style="59" customWidth="1"/>
    <col min="17" max="17" width="18.1640625" style="59" customWidth="1"/>
    <col min="18" max="18" width="4" style="35" customWidth="1"/>
    <col min="19" max="19" width="13.33203125" customWidth="1"/>
    <col min="257" max="257" width="4" customWidth="1"/>
    <col min="258" max="258" width="25.1640625" customWidth="1"/>
    <col min="259" max="259" width="48.5" customWidth="1"/>
    <col min="260" max="260" width="12.33203125" customWidth="1"/>
    <col min="261" max="261" width="14.33203125" customWidth="1"/>
    <col min="262" max="262" width="9.1640625" customWidth="1"/>
    <col min="263" max="263" width="12.33203125" customWidth="1"/>
    <col min="264" max="264" width="14.33203125" customWidth="1"/>
    <col min="265" max="265" width="7.5" customWidth="1"/>
    <col min="266" max="266" width="12.33203125" customWidth="1"/>
    <col min="267" max="267" width="14.33203125" customWidth="1"/>
    <col min="268" max="268" width="7.6640625" customWidth="1"/>
    <col min="269" max="269" width="12.6640625" customWidth="1"/>
    <col min="270" max="270" width="13.6640625" customWidth="1"/>
    <col min="271" max="271" width="9.1640625" customWidth="1"/>
    <col min="272" max="272" width="12.6640625" customWidth="1"/>
    <col min="273" max="273" width="15.33203125" customWidth="1"/>
    <col min="274" max="274" width="4" customWidth="1"/>
    <col min="275" max="275" width="13.33203125" customWidth="1"/>
    <col min="513" max="513" width="4" customWidth="1"/>
    <col min="514" max="514" width="25.1640625" customWidth="1"/>
    <col min="515" max="515" width="48.5" customWidth="1"/>
    <col min="516" max="516" width="12.33203125" customWidth="1"/>
    <col min="517" max="517" width="14.33203125" customWidth="1"/>
    <col min="518" max="518" width="9.1640625" customWidth="1"/>
    <col min="519" max="519" width="12.33203125" customWidth="1"/>
    <col min="520" max="520" width="14.33203125" customWidth="1"/>
    <col min="521" max="521" width="7.5" customWidth="1"/>
    <col min="522" max="522" width="12.33203125" customWidth="1"/>
    <col min="523" max="523" width="14.33203125" customWidth="1"/>
    <col min="524" max="524" width="7.6640625" customWidth="1"/>
    <col min="525" max="525" width="12.6640625" customWidth="1"/>
    <col min="526" max="526" width="13.6640625" customWidth="1"/>
    <col min="527" max="527" width="9.1640625" customWidth="1"/>
    <col min="528" max="528" width="12.6640625" customWidth="1"/>
    <col min="529" max="529" width="15.33203125" customWidth="1"/>
    <col min="530" max="530" width="4" customWidth="1"/>
    <col min="531" max="531" width="13.33203125" customWidth="1"/>
    <col min="769" max="769" width="4" customWidth="1"/>
    <col min="770" max="770" width="25.1640625" customWidth="1"/>
    <col min="771" max="771" width="48.5" customWidth="1"/>
    <col min="772" max="772" width="12.33203125" customWidth="1"/>
    <col min="773" max="773" width="14.33203125" customWidth="1"/>
    <col min="774" max="774" width="9.1640625" customWidth="1"/>
    <col min="775" max="775" width="12.33203125" customWidth="1"/>
    <col min="776" max="776" width="14.33203125" customWidth="1"/>
    <col min="777" max="777" width="7.5" customWidth="1"/>
    <col min="778" max="778" width="12.33203125" customWidth="1"/>
    <col min="779" max="779" width="14.33203125" customWidth="1"/>
    <col min="780" max="780" width="7.6640625" customWidth="1"/>
    <col min="781" max="781" width="12.6640625" customWidth="1"/>
    <col min="782" max="782" width="13.6640625" customWidth="1"/>
    <col min="783" max="783" width="9.1640625" customWidth="1"/>
    <col min="784" max="784" width="12.6640625" customWidth="1"/>
    <col min="785" max="785" width="15.33203125" customWidth="1"/>
    <col min="786" max="786" width="4" customWidth="1"/>
    <col min="787" max="787" width="13.33203125" customWidth="1"/>
    <col min="1025" max="1025" width="4" customWidth="1"/>
    <col min="1026" max="1026" width="25.1640625" customWidth="1"/>
    <col min="1027" max="1027" width="48.5" customWidth="1"/>
    <col min="1028" max="1028" width="12.33203125" customWidth="1"/>
    <col min="1029" max="1029" width="14.33203125" customWidth="1"/>
    <col min="1030" max="1030" width="9.1640625" customWidth="1"/>
    <col min="1031" max="1031" width="12.33203125" customWidth="1"/>
    <col min="1032" max="1032" width="14.33203125" customWidth="1"/>
    <col min="1033" max="1033" width="7.5" customWidth="1"/>
    <col min="1034" max="1034" width="12.33203125" customWidth="1"/>
    <col min="1035" max="1035" width="14.33203125" customWidth="1"/>
    <col min="1036" max="1036" width="7.6640625" customWidth="1"/>
    <col min="1037" max="1037" width="12.6640625" customWidth="1"/>
    <col min="1038" max="1038" width="13.6640625" customWidth="1"/>
    <col min="1039" max="1039" width="9.1640625" customWidth="1"/>
    <col min="1040" max="1040" width="12.6640625" customWidth="1"/>
    <col min="1041" max="1041" width="15.33203125" customWidth="1"/>
    <col min="1042" max="1042" width="4" customWidth="1"/>
    <col min="1043" max="1043" width="13.33203125" customWidth="1"/>
    <col min="1281" max="1281" width="4" customWidth="1"/>
    <col min="1282" max="1282" width="25.1640625" customWidth="1"/>
    <col min="1283" max="1283" width="48.5" customWidth="1"/>
    <col min="1284" max="1284" width="12.33203125" customWidth="1"/>
    <col min="1285" max="1285" width="14.33203125" customWidth="1"/>
    <col min="1286" max="1286" width="9.1640625" customWidth="1"/>
    <col min="1287" max="1287" width="12.33203125" customWidth="1"/>
    <col min="1288" max="1288" width="14.33203125" customWidth="1"/>
    <col min="1289" max="1289" width="7.5" customWidth="1"/>
    <col min="1290" max="1290" width="12.33203125" customWidth="1"/>
    <col min="1291" max="1291" width="14.33203125" customWidth="1"/>
    <col min="1292" max="1292" width="7.6640625" customWidth="1"/>
    <col min="1293" max="1293" width="12.6640625" customWidth="1"/>
    <col min="1294" max="1294" width="13.6640625" customWidth="1"/>
    <col min="1295" max="1295" width="9.1640625" customWidth="1"/>
    <col min="1296" max="1296" width="12.6640625" customWidth="1"/>
    <col min="1297" max="1297" width="15.33203125" customWidth="1"/>
    <col min="1298" max="1298" width="4" customWidth="1"/>
    <col min="1299" max="1299" width="13.33203125" customWidth="1"/>
    <col min="1537" max="1537" width="4" customWidth="1"/>
    <col min="1538" max="1538" width="25.1640625" customWidth="1"/>
    <col min="1539" max="1539" width="48.5" customWidth="1"/>
    <col min="1540" max="1540" width="12.33203125" customWidth="1"/>
    <col min="1541" max="1541" width="14.33203125" customWidth="1"/>
    <col min="1542" max="1542" width="9.1640625" customWidth="1"/>
    <col min="1543" max="1543" width="12.33203125" customWidth="1"/>
    <col min="1544" max="1544" width="14.33203125" customWidth="1"/>
    <col min="1545" max="1545" width="7.5" customWidth="1"/>
    <col min="1546" max="1546" width="12.33203125" customWidth="1"/>
    <col min="1547" max="1547" width="14.33203125" customWidth="1"/>
    <col min="1548" max="1548" width="7.6640625" customWidth="1"/>
    <col min="1549" max="1549" width="12.6640625" customWidth="1"/>
    <col min="1550" max="1550" width="13.6640625" customWidth="1"/>
    <col min="1551" max="1551" width="9.1640625" customWidth="1"/>
    <col min="1552" max="1552" width="12.6640625" customWidth="1"/>
    <col min="1553" max="1553" width="15.33203125" customWidth="1"/>
    <col min="1554" max="1554" width="4" customWidth="1"/>
    <col min="1555" max="1555" width="13.33203125" customWidth="1"/>
    <col min="1793" max="1793" width="4" customWidth="1"/>
    <col min="1794" max="1794" width="25.1640625" customWidth="1"/>
    <col min="1795" max="1795" width="48.5" customWidth="1"/>
    <col min="1796" max="1796" width="12.33203125" customWidth="1"/>
    <col min="1797" max="1797" width="14.33203125" customWidth="1"/>
    <col min="1798" max="1798" width="9.1640625" customWidth="1"/>
    <col min="1799" max="1799" width="12.33203125" customWidth="1"/>
    <col min="1800" max="1800" width="14.33203125" customWidth="1"/>
    <col min="1801" max="1801" width="7.5" customWidth="1"/>
    <col min="1802" max="1802" width="12.33203125" customWidth="1"/>
    <col min="1803" max="1803" width="14.33203125" customWidth="1"/>
    <col min="1804" max="1804" width="7.6640625" customWidth="1"/>
    <col min="1805" max="1805" width="12.6640625" customWidth="1"/>
    <col min="1806" max="1806" width="13.6640625" customWidth="1"/>
    <col min="1807" max="1807" width="9.1640625" customWidth="1"/>
    <col min="1808" max="1808" width="12.6640625" customWidth="1"/>
    <col min="1809" max="1809" width="15.33203125" customWidth="1"/>
    <col min="1810" max="1810" width="4" customWidth="1"/>
    <col min="1811" max="1811" width="13.33203125" customWidth="1"/>
    <col min="2049" max="2049" width="4" customWidth="1"/>
    <col min="2050" max="2050" width="25.1640625" customWidth="1"/>
    <col min="2051" max="2051" width="48.5" customWidth="1"/>
    <col min="2052" max="2052" width="12.33203125" customWidth="1"/>
    <col min="2053" max="2053" width="14.33203125" customWidth="1"/>
    <col min="2054" max="2054" width="9.1640625" customWidth="1"/>
    <col min="2055" max="2055" width="12.33203125" customWidth="1"/>
    <col min="2056" max="2056" width="14.33203125" customWidth="1"/>
    <col min="2057" max="2057" width="7.5" customWidth="1"/>
    <col min="2058" max="2058" width="12.33203125" customWidth="1"/>
    <col min="2059" max="2059" width="14.33203125" customWidth="1"/>
    <col min="2060" max="2060" width="7.6640625" customWidth="1"/>
    <col min="2061" max="2061" width="12.6640625" customWidth="1"/>
    <col min="2062" max="2062" width="13.6640625" customWidth="1"/>
    <col min="2063" max="2063" width="9.1640625" customWidth="1"/>
    <col min="2064" max="2064" width="12.6640625" customWidth="1"/>
    <col min="2065" max="2065" width="15.33203125" customWidth="1"/>
    <col min="2066" max="2066" width="4" customWidth="1"/>
    <col min="2067" max="2067" width="13.33203125" customWidth="1"/>
    <col min="2305" max="2305" width="4" customWidth="1"/>
    <col min="2306" max="2306" width="25.1640625" customWidth="1"/>
    <col min="2307" max="2307" width="48.5" customWidth="1"/>
    <col min="2308" max="2308" width="12.33203125" customWidth="1"/>
    <col min="2309" max="2309" width="14.33203125" customWidth="1"/>
    <col min="2310" max="2310" width="9.1640625" customWidth="1"/>
    <col min="2311" max="2311" width="12.33203125" customWidth="1"/>
    <col min="2312" max="2312" width="14.33203125" customWidth="1"/>
    <col min="2313" max="2313" width="7.5" customWidth="1"/>
    <col min="2314" max="2314" width="12.33203125" customWidth="1"/>
    <col min="2315" max="2315" width="14.33203125" customWidth="1"/>
    <col min="2316" max="2316" width="7.6640625" customWidth="1"/>
    <col min="2317" max="2317" width="12.6640625" customWidth="1"/>
    <col min="2318" max="2318" width="13.6640625" customWidth="1"/>
    <col min="2319" max="2319" width="9.1640625" customWidth="1"/>
    <col min="2320" max="2320" width="12.6640625" customWidth="1"/>
    <col min="2321" max="2321" width="15.33203125" customWidth="1"/>
    <col min="2322" max="2322" width="4" customWidth="1"/>
    <col min="2323" max="2323" width="13.33203125" customWidth="1"/>
    <col min="2561" max="2561" width="4" customWidth="1"/>
    <col min="2562" max="2562" width="25.1640625" customWidth="1"/>
    <col min="2563" max="2563" width="48.5" customWidth="1"/>
    <col min="2564" max="2564" width="12.33203125" customWidth="1"/>
    <col min="2565" max="2565" width="14.33203125" customWidth="1"/>
    <col min="2566" max="2566" width="9.1640625" customWidth="1"/>
    <col min="2567" max="2567" width="12.33203125" customWidth="1"/>
    <col min="2568" max="2568" width="14.33203125" customWidth="1"/>
    <col min="2569" max="2569" width="7.5" customWidth="1"/>
    <col min="2570" max="2570" width="12.33203125" customWidth="1"/>
    <col min="2571" max="2571" width="14.33203125" customWidth="1"/>
    <col min="2572" max="2572" width="7.6640625" customWidth="1"/>
    <col min="2573" max="2573" width="12.6640625" customWidth="1"/>
    <col min="2574" max="2574" width="13.6640625" customWidth="1"/>
    <col min="2575" max="2575" width="9.1640625" customWidth="1"/>
    <col min="2576" max="2576" width="12.6640625" customWidth="1"/>
    <col min="2577" max="2577" width="15.33203125" customWidth="1"/>
    <col min="2578" max="2578" width="4" customWidth="1"/>
    <col min="2579" max="2579" width="13.33203125" customWidth="1"/>
    <col min="2817" max="2817" width="4" customWidth="1"/>
    <col min="2818" max="2818" width="25.1640625" customWidth="1"/>
    <col min="2819" max="2819" width="48.5" customWidth="1"/>
    <col min="2820" max="2820" width="12.33203125" customWidth="1"/>
    <col min="2821" max="2821" width="14.33203125" customWidth="1"/>
    <col min="2822" max="2822" width="9.1640625" customWidth="1"/>
    <col min="2823" max="2823" width="12.33203125" customWidth="1"/>
    <col min="2824" max="2824" width="14.33203125" customWidth="1"/>
    <col min="2825" max="2825" width="7.5" customWidth="1"/>
    <col min="2826" max="2826" width="12.33203125" customWidth="1"/>
    <col min="2827" max="2827" width="14.33203125" customWidth="1"/>
    <col min="2828" max="2828" width="7.6640625" customWidth="1"/>
    <col min="2829" max="2829" width="12.6640625" customWidth="1"/>
    <col min="2830" max="2830" width="13.6640625" customWidth="1"/>
    <col min="2831" max="2831" width="9.1640625" customWidth="1"/>
    <col min="2832" max="2832" width="12.6640625" customWidth="1"/>
    <col min="2833" max="2833" width="15.33203125" customWidth="1"/>
    <col min="2834" max="2834" width="4" customWidth="1"/>
    <col min="2835" max="2835" width="13.33203125" customWidth="1"/>
    <col min="3073" max="3073" width="4" customWidth="1"/>
    <col min="3074" max="3074" width="25.1640625" customWidth="1"/>
    <col min="3075" max="3075" width="48.5" customWidth="1"/>
    <col min="3076" max="3076" width="12.33203125" customWidth="1"/>
    <col min="3077" max="3077" width="14.33203125" customWidth="1"/>
    <col min="3078" max="3078" width="9.1640625" customWidth="1"/>
    <col min="3079" max="3079" width="12.33203125" customWidth="1"/>
    <col min="3080" max="3080" width="14.33203125" customWidth="1"/>
    <col min="3081" max="3081" width="7.5" customWidth="1"/>
    <col min="3082" max="3082" width="12.33203125" customWidth="1"/>
    <col min="3083" max="3083" width="14.33203125" customWidth="1"/>
    <col min="3084" max="3084" width="7.6640625" customWidth="1"/>
    <col min="3085" max="3085" width="12.6640625" customWidth="1"/>
    <col min="3086" max="3086" width="13.6640625" customWidth="1"/>
    <col min="3087" max="3087" width="9.1640625" customWidth="1"/>
    <col min="3088" max="3088" width="12.6640625" customWidth="1"/>
    <col min="3089" max="3089" width="15.33203125" customWidth="1"/>
    <col min="3090" max="3090" width="4" customWidth="1"/>
    <col min="3091" max="3091" width="13.33203125" customWidth="1"/>
    <col min="3329" max="3329" width="4" customWidth="1"/>
    <col min="3330" max="3330" width="25.1640625" customWidth="1"/>
    <col min="3331" max="3331" width="48.5" customWidth="1"/>
    <col min="3332" max="3332" width="12.33203125" customWidth="1"/>
    <col min="3333" max="3333" width="14.33203125" customWidth="1"/>
    <col min="3334" max="3334" width="9.1640625" customWidth="1"/>
    <col min="3335" max="3335" width="12.33203125" customWidth="1"/>
    <col min="3336" max="3336" width="14.33203125" customWidth="1"/>
    <col min="3337" max="3337" width="7.5" customWidth="1"/>
    <col min="3338" max="3338" width="12.33203125" customWidth="1"/>
    <col min="3339" max="3339" width="14.33203125" customWidth="1"/>
    <col min="3340" max="3340" width="7.6640625" customWidth="1"/>
    <col min="3341" max="3341" width="12.6640625" customWidth="1"/>
    <col min="3342" max="3342" width="13.6640625" customWidth="1"/>
    <col min="3343" max="3343" width="9.1640625" customWidth="1"/>
    <col min="3344" max="3344" width="12.6640625" customWidth="1"/>
    <col min="3345" max="3345" width="15.33203125" customWidth="1"/>
    <col min="3346" max="3346" width="4" customWidth="1"/>
    <col min="3347" max="3347" width="13.33203125" customWidth="1"/>
    <col min="3585" max="3585" width="4" customWidth="1"/>
    <col min="3586" max="3586" width="25.1640625" customWidth="1"/>
    <col min="3587" max="3587" width="48.5" customWidth="1"/>
    <col min="3588" max="3588" width="12.33203125" customWidth="1"/>
    <col min="3589" max="3589" width="14.33203125" customWidth="1"/>
    <col min="3590" max="3590" width="9.1640625" customWidth="1"/>
    <col min="3591" max="3591" width="12.33203125" customWidth="1"/>
    <col min="3592" max="3592" width="14.33203125" customWidth="1"/>
    <col min="3593" max="3593" width="7.5" customWidth="1"/>
    <col min="3594" max="3594" width="12.33203125" customWidth="1"/>
    <col min="3595" max="3595" width="14.33203125" customWidth="1"/>
    <col min="3596" max="3596" width="7.6640625" customWidth="1"/>
    <col min="3597" max="3597" width="12.6640625" customWidth="1"/>
    <col min="3598" max="3598" width="13.6640625" customWidth="1"/>
    <col min="3599" max="3599" width="9.1640625" customWidth="1"/>
    <col min="3600" max="3600" width="12.6640625" customWidth="1"/>
    <col min="3601" max="3601" width="15.33203125" customWidth="1"/>
    <col min="3602" max="3602" width="4" customWidth="1"/>
    <col min="3603" max="3603" width="13.33203125" customWidth="1"/>
    <col min="3841" max="3841" width="4" customWidth="1"/>
    <col min="3842" max="3842" width="25.1640625" customWidth="1"/>
    <col min="3843" max="3843" width="48.5" customWidth="1"/>
    <col min="3844" max="3844" width="12.33203125" customWidth="1"/>
    <col min="3845" max="3845" width="14.33203125" customWidth="1"/>
    <col min="3846" max="3846" width="9.1640625" customWidth="1"/>
    <col min="3847" max="3847" width="12.33203125" customWidth="1"/>
    <col min="3848" max="3848" width="14.33203125" customWidth="1"/>
    <col min="3849" max="3849" width="7.5" customWidth="1"/>
    <col min="3850" max="3850" width="12.33203125" customWidth="1"/>
    <col min="3851" max="3851" width="14.33203125" customWidth="1"/>
    <col min="3852" max="3852" width="7.6640625" customWidth="1"/>
    <col min="3853" max="3853" width="12.6640625" customWidth="1"/>
    <col min="3854" max="3854" width="13.6640625" customWidth="1"/>
    <col min="3855" max="3855" width="9.1640625" customWidth="1"/>
    <col min="3856" max="3856" width="12.6640625" customWidth="1"/>
    <col min="3857" max="3857" width="15.33203125" customWidth="1"/>
    <col min="3858" max="3858" width="4" customWidth="1"/>
    <col min="3859" max="3859" width="13.33203125" customWidth="1"/>
    <col min="4097" max="4097" width="4" customWidth="1"/>
    <col min="4098" max="4098" width="25.1640625" customWidth="1"/>
    <col min="4099" max="4099" width="48.5" customWidth="1"/>
    <col min="4100" max="4100" width="12.33203125" customWidth="1"/>
    <col min="4101" max="4101" width="14.33203125" customWidth="1"/>
    <col min="4102" max="4102" width="9.1640625" customWidth="1"/>
    <col min="4103" max="4103" width="12.33203125" customWidth="1"/>
    <col min="4104" max="4104" width="14.33203125" customWidth="1"/>
    <col min="4105" max="4105" width="7.5" customWidth="1"/>
    <col min="4106" max="4106" width="12.33203125" customWidth="1"/>
    <col min="4107" max="4107" width="14.33203125" customWidth="1"/>
    <col min="4108" max="4108" width="7.6640625" customWidth="1"/>
    <col min="4109" max="4109" width="12.6640625" customWidth="1"/>
    <col min="4110" max="4110" width="13.6640625" customWidth="1"/>
    <col min="4111" max="4111" width="9.1640625" customWidth="1"/>
    <col min="4112" max="4112" width="12.6640625" customWidth="1"/>
    <col min="4113" max="4113" width="15.33203125" customWidth="1"/>
    <col min="4114" max="4114" width="4" customWidth="1"/>
    <col min="4115" max="4115" width="13.33203125" customWidth="1"/>
    <col min="4353" max="4353" width="4" customWidth="1"/>
    <col min="4354" max="4354" width="25.1640625" customWidth="1"/>
    <col min="4355" max="4355" width="48.5" customWidth="1"/>
    <col min="4356" max="4356" width="12.33203125" customWidth="1"/>
    <col min="4357" max="4357" width="14.33203125" customWidth="1"/>
    <col min="4358" max="4358" width="9.1640625" customWidth="1"/>
    <col min="4359" max="4359" width="12.33203125" customWidth="1"/>
    <col min="4360" max="4360" width="14.33203125" customWidth="1"/>
    <col min="4361" max="4361" width="7.5" customWidth="1"/>
    <col min="4362" max="4362" width="12.33203125" customWidth="1"/>
    <col min="4363" max="4363" width="14.33203125" customWidth="1"/>
    <col min="4364" max="4364" width="7.6640625" customWidth="1"/>
    <col min="4365" max="4365" width="12.6640625" customWidth="1"/>
    <col min="4366" max="4366" width="13.6640625" customWidth="1"/>
    <col min="4367" max="4367" width="9.1640625" customWidth="1"/>
    <col min="4368" max="4368" width="12.6640625" customWidth="1"/>
    <col min="4369" max="4369" width="15.33203125" customWidth="1"/>
    <col min="4370" max="4370" width="4" customWidth="1"/>
    <col min="4371" max="4371" width="13.33203125" customWidth="1"/>
    <col min="4609" max="4609" width="4" customWidth="1"/>
    <col min="4610" max="4610" width="25.1640625" customWidth="1"/>
    <col min="4611" max="4611" width="48.5" customWidth="1"/>
    <col min="4612" max="4612" width="12.33203125" customWidth="1"/>
    <col min="4613" max="4613" width="14.33203125" customWidth="1"/>
    <col min="4614" max="4614" width="9.1640625" customWidth="1"/>
    <col min="4615" max="4615" width="12.33203125" customWidth="1"/>
    <col min="4616" max="4616" width="14.33203125" customWidth="1"/>
    <col min="4617" max="4617" width="7.5" customWidth="1"/>
    <col min="4618" max="4618" width="12.33203125" customWidth="1"/>
    <col min="4619" max="4619" width="14.33203125" customWidth="1"/>
    <col min="4620" max="4620" width="7.6640625" customWidth="1"/>
    <col min="4621" max="4621" width="12.6640625" customWidth="1"/>
    <col min="4622" max="4622" width="13.6640625" customWidth="1"/>
    <col min="4623" max="4623" width="9.1640625" customWidth="1"/>
    <col min="4624" max="4624" width="12.6640625" customWidth="1"/>
    <col min="4625" max="4625" width="15.33203125" customWidth="1"/>
    <col min="4626" max="4626" width="4" customWidth="1"/>
    <col min="4627" max="4627" width="13.33203125" customWidth="1"/>
    <col min="4865" max="4865" width="4" customWidth="1"/>
    <col min="4866" max="4866" width="25.1640625" customWidth="1"/>
    <col min="4867" max="4867" width="48.5" customWidth="1"/>
    <col min="4868" max="4868" width="12.33203125" customWidth="1"/>
    <col min="4869" max="4869" width="14.33203125" customWidth="1"/>
    <col min="4870" max="4870" width="9.1640625" customWidth="1"/>
    <col min="4871" max="4871" width="12.33203125" customWidth="1"/>
    <col min="4872" max="4872" width="14.33203125" customWidth="1"/>
    <col min="4873" max="4873" width="7.5" customWidth="1"/>
    <col min="4874" max="4874" width="12.33203125" customWidth="1"/>
    <col min="4875" max="4875" width="14.33203125" customWidth="1"/>
    <col min="4876" max="4876" width="7.6640625" customWidth="1"/>
    <col min="4877" max="4877" width="12.6640625" customWidth="1"/>
    <col min="4878" max="4878" width="13.6640625" customWidth="1"/>
    <col min="4879" max="4879" width="9.1640625" customWidth="1"/>
    <col min="4880" max="4880" width="12.6640625" customWidth="1"/>
    <col min="4881" max="4881" width="15.33203125" customWidth="1"/>
    <col min="4882" max="4882" width="4" customWidth="1"/>
    <col min="4883" max="4883" width="13.33203125" customWidth="1"/>
    <col min="5121" max="5121" width="4" customWidth="1"/>
    <col min="5122" max="5122" width="25.1640625" customWidth="1"/>
    <col min="5123" max="5123" width="48.5" customWidth="1"/>
    <col min="5124" max="5124" width="12.33203125" customWidth="1"/>
    <col min="5125" max="5125" width="14.33203125" customWidth="1"/>
    <col min="5126" max="5126" width="9.1640625" customWidth="1"/>
    <col min="5127" max="5127" width="12.33203125" customWidth="1"/>
    <col min="5128" max="5128" width="14.33203125" customWidth="1"/>
    <col min="5129" max="5129" width="7.5" customWidth="1"/>
    <col min="5130" max="5130" width="12.33203125" customWidth="1"/>
    <col min="5131" max="5131" width="14.33203125" customWidth="1"/>
    <col min="5132" max="5132" width="7.6640625" customWidth="1"/>
    <col min="5133" max="5133" width="12.6640625" customWidth="1"/>
    <col min="5134" max="5134" width="13.6640625" customWidth="1"/>
    <col min="5135" max="5135" width="9.1640625" customWidth="1"/>
    <col min="5136" max="5136" width="12.6640625" customWidth="1"/>
    <col min="5137" max="5137" width="15.33203125" customWidth="1"/>
    <col min="5138" max="5138" width="4" customWidth="1"/>
    <col min="5139" max="5139" width="13.33203125" customWidth="1"/>
    <col min="5377" max="5377" width="4" customWidth="1"/>
    <col min="5378" max="5378" width="25.1640625" customWidth="1"/>
    <col min="5379" max="5379" width="48.5" customWidth="1"/>
    <col min="5380" max="5380" width="12.33203125" customWidth="1"/>
    <col min="5381" max="5381" width="14.33203125" customWidth="1"/>
    <col min="5382" max="5382" width="9.1640625" customWidth="1"/>
    <col min="5383" max="5383" width="12.33203125" customWidth="1"/>
    <col min="5384" max="5384" width="14.33203125" customWidth="1"/>
    <col min="5385" max="5385" width="7.5" customWidth="1"/>
    <col min="5386" max="5386" width="12.33203125" customWidth="1"/>
    <col min="5387" max="5387" width="14.33203125" customWidth="1"/>
    <col min="5388" max="5388" width="7.6640625" customWidth="1"/>
    <col min="5389" max="5389" width="12.6640625" customWidth="1"/>
    <col min="5390" max="5390" width="13.6640625" customWidth="1"/>
    <col min="5391" max="5391" width="9.1640625" customWidth="1"/>
    <col min="5392" max="5392" width="12.6640625" customWidth="1"/>
    <col min="5393" max="5393" width="15.33203125" customWidth="1"/>
    <col min="5394" max="5394" width="4" customWidth="1"/>
    <col min="5395" max="5395" width="13.33203125" customWidth="1"/>
    <col min="5633" max="5633" width="4" customWidth="1"/>
    <col min="5634" max="5634" width="25.1640625" customWidth="1"/>
    <col min="5635" max="5635" width="48.5" customWidth="1"/>
    <col min="5636" max="5636" width="12.33203125" customWidth="1"/>
    <col min="5637" max="5637" width="14.33203125" customWidth="1"/>
    <col min="5638" max="5638" width="9.1640625" customWidth="1"/>
    <col min="5639" max="5639" width="12.33203125" customWidth="1"/>
    <col min="5640" max="5640" width="14.33203125" customWidth="1"/>
    <col min="5641" max="5641" width="7.5" customWidth="1"/>
    <col min="5642" max="5642" width="12.33203125" customWidth="1"/>
    <col min="5643" max="5643" width="14.33203125" customWidth="1"/>
    <col min="5644" max="5644" width="7.6640625" customWidth="1"/>
    <col min="5645" max="5645" width="12.6640625" customWidth="1"/>
    <col min="5646" max="5646" width="13.6640625" customWidth="1"/>
    <col min="5647" max="5647" width="9.1640625" customWidth="1"/>
    <col min="5648" max="5648" width="12.6640625" customWidth="1"/>
    <col min="5649" max="5649" width="15.33203125" customWidth="1"/>
    <col min="5650" max="5650" width="4" customWidth="1"/>
    <col min="5651" max="5651" width="13.33203125" customWidth="1"/>
    <col min="5889" max="5889" width="4" customWidth="1"/>
    <col min="5890" max="5890" width="25.1640625" customWidth="1"/>
    <col min="5891" max="5891" width="48.5" customWidth="1"/>
    <col min="5892" max="5892" width="12.33203125" customWidth="1"/>
    <col min="5893" max="5893" width="14.33203125" customWidth="1"/>
    <col min="5894" max="5894" width="9.1640625" customWidth="1"/>
    <col min="5895" max="5895" width="12.33203125" customWidth="1"/>
    <col min="5896" max="5896" width="14.33203125" customWidth="1"/>
    <col min="5897" max="5897" width="7.5" customWidth="1"/>
    <col min="5898" max="5898" width="12.33203125" customWidth="1"/>
    <col min="5899" max="5899" width="14.33203125" customWidth="1"/>
    <col min="5900" max="5900" width="7.6640625" customWidth="1"/>
    <col min="5901" max="5901" width="12.6640625" customWidth="1"/>
    <col min="5902" max="5902" width="13.6640625" customWidth="1"/>
    <col min="5903" max="5903" width="9.1640625" customWidth="1"/>
    <col min="5904" max="5904" width="12.6640625" customWidth="1"/>
    <col min="5905" max="5905" width="15.33203125" customWidth="1"/>
    <col min="5906" max="5906" width="4" customWidth="1"/>
    <col min="5907" max="5907" width="13.33203125" customWidth="1"/>
    <col min="6145" max="6145" width="4" customWidth="1"/>
    <col min="6146" max="6146" width="25.1640625" customWidth="1"/>
    <col min="6147" max="6147" width="48.5" customWidth="1"/>
    <col min="6148" max="6148" width="12.33203125" customWidth="1"/>
    <col min="6149" max="6149" width="14.33203125" customWidth="1"/>
    <col min="6150" max="6150" width="9.1640625" customWidth="1"/>
    <col min="6151" max="6151" width="12.33203125" customWidth="1"/>
    <col min="6152" max="6152" width="14.33203125" customWidth="1"/>
    <col min="6153" max="6153" width="7.5" customWidth="1"/>
    <col min="6154" max="6154" width="12.33203125" customWidth="1"/>
    <col min="6155" max="6155" width="14.33203125" customWidth="1"/>
    <col min="6156" max="6156" width="7.6640625" customWidth="1"/>
    <col min="6157" max="6157" width="12.6640625" customWidth="1"/>
    <col min="6158" max="6158" width="13.6640625" customWidth="1"/>
    <col min="6159" max="6159" width="9.1640625" customWidth="1"/>
    <col min="6160" max="6160" width="12.6640625" customWidth="1"/>
    <col min="6161" max="6161" width="15.33203125" customWidth="1"/>
    <col min="6162" max="6162" width="4" customWidth="1"/>
    <col min="6163" max="6163" width="13.33203125" customWidth="1"/>
    <col min="6401" max="6401" width="4" customWidth="1"/>
    <col min="6402" max="6402" width="25.1640625" customWidth="1"/>
    <col min="6403" max="6403" width="48.5" customWidth="1"/>
    <col min="6404" max="6404" width="12.33203125" customWidth="1"/>
    <col min="6405" max="6405" width="14.33203125" customWidth="1"/>
    <col min="6406" max="6406" width="9.1640625" customWidth="1"/>
    <col min="6407" max="6407" width="12.33203125" customWidth="1"/>
    <col min="6408" max="6408" width="14.33203125" customWidth="1"/>
    <col min="6409" max="6409" width="7.5" customWidth="1"/>
    <col min="6410" max="6410" width="12.33203125" customWidth="1"/>
    <col min="6411" max="6411" width="14.33203125" customWidth="1"/>
    <col min="6412" max="6412" width="7.6640625" customWidth="1"/>
    <col min="6413" max="6413" width="12.6640625" customWidth="1"/>
    <col min="6414" max="6414" width="13.6640625" customWidth="1"/>
    <col min="6415" max="6415" width="9.1640625" customWidth="1"/>
    <col min="6416" max="6416" width="12.6640625" customWidth="1"/>
    <col min="6417" max="6417" width="15.33203125" customWidth="1"/>
    <col min="6418" max="6418" width="4" customWidth="1"/>
    <col min="6419" max="6419" width="13.33203125" customWidth="1"/>
    <col min="6657" max="6657" width="4" customWidth="1"/>
    <col min="6658" max="6658" width="25.1640625" customWidth="1"/>
    <col min="6659" max="6659" width="48.5" customWidth="1"/>
    <col min="6660" max="6660" width="12.33203125" customWidth="1"/>
    <col min="6661" max="6661" width="14.33203125" customWidth="1"/>
    <col min="6662" max="6662" width="9.1640625" customWidth="1"/>
    <col min="6663" max="6663" width="12.33203125" customWidth="1"/>
    <col min="6664" max="6664" width="14.33203125" customWidth="1"/>
    <col min="6665" max="6665" width="7.5" customWidth="1"/>
    <col min="6666" max="6666" width="12.33203125" customWidth="1"/>
    <col min="6667" max="6667" width="14.33203125" customWidth="1"/>
    <col min="6668" max="6668" width="7.6640625" customWidth="1"/>
    <col min="6669" max="6669" width="12.6640625" customWidth="1"/>
    <col min="6670" max="6670" width="13.6640625" customWidth="1"/>
    <col min="6671" max="6671" width="9.1640625" customWidth="1"/>
    <col min="6672" max="6672" width="12.6640625" customWidth="1"/>
    <col min="6673" max="6673" width="15.33203125" customWidth="1"/>
    <col min="6674" max="6674" width="4" customWidth="1"/>
    <col min="6675" max="6675" width="13.33203125" customWidth="1"/>
    <col min="6913" max="6913" width="4" customWidth="1"/>
    <col min="6914" max="6914" width="25.1640625" customWidth="1"/>
    <col min="6915" max="6915" width="48.5" customWidth="1"/>
    <col min="6916" max="6916" width="12.33203125" customWidth="1"/>
    <col min="6917" max="6917" width="14.33203125" customWidth="1"/>
    <col min="6918" max="6918" width="9.1640625" customWidth="1"/>
    <col min="6919" max="6919" width="12.33203125" customWidth="1"/>
    <col min="6920" max="6920" width="14.33203125" customWidth="1"/>
    <col min="6921" max="6921" width="7.5" customWidth="1"/>
    <col min="6922" max="6922" width="12.33203125" customWidth="1"/>
    <col min="6923" max="6923" width="14.33203125" customWidth="1"/>
    <col min="6924" max="6924" width="7.6640625" customWidth="1"/>
    <col min="6925" max="6925" width="12.6640625" customWidth="1"/>
    <col min="6926" max="6926" width="13.6640625" customWidth="1"/>
    <col min="6927" max="6927" width="9.1640625" customWidth="1"/>
    <col min="6928" max="6928" width="12.6640625" customWidth="1"/>
    <col min="6929" max="6929" width="15.33203125" customWidth="1"/>
    <col min="6930" max="6930" width="4" customWidth="1"/>
    <col min="6931" max="6931" width="13.33203125" customWidth="1"/>
    <col min="7169" max="7169" width="4" customWidth="1"/>
    <col min="7170" max="7170" width="25.1640625" customWidth="1"/>
    <col min="7171" max="7171" width="48.5" customWidth="1"/>
    <col min="7172" max="7172" width="12.33203125" customWidth="1"/>
    <col min="7173" max="7173" width="14.33203125" customWidth="1"/>
    <col min="7174" max="7174" width="9.1640625" customWidth="1"/>
    <col min="7175" max="7175" width="12.33203125" customWidth="1"/>
    <col min="7176" max="7176" width="14.33203125" customWidth="1"/>
    <col min="7177" max="7177" width="7.5" customWidth="1"/>
    <col min="7178" max="7178" width="12.33203125" customWidth="1"/>
    <col min="7179" max="7179" width="14.33203125" customWidth="1"/>
    <col min="7180" max="7180" width="7.6640625" customWidth="1"/>
    <col min="7181" max="7181" width="12.6640625" customWidth="1"/>
    <col min="7182" max="7182" width="13.6640625" customWidth="1"/>
    <col min="7183" max="7183" width="9.1640625" customWidth="1"/>
    <col min="7184" max="7184" width="12.6640625" customWidth="1"/>
    <col min="7185" max="7185" width="15.33203125" customWidth="1"/>
    <col min="7186" max="7186" width="4" customWidth="1"/>
    <col min="7187" max="7187" width="13.33203125" customWidth="1"/>
    <col min="7425" max="7425" width="4" customWidth="1"/>
    <col min="7426" max="7426" width="25.1640625" customWidth="1"/>
    <col min="7427" max="7427" width="48.5" customWidth="1"/>
    <col min="7428" max="7428" width="12.33203125" customWidth="1"/>
    <col min="7429" max="7429" width="14.33203125" customWidth="1"/>
    <col min="7430" max="7430" width="9.1640625" customWidth="1"/>
    <col min="7431" max="7431" width="12.33203125" customWidth="1"/>
    <col min="7432" max="7432" width="14.33203125" customWidth="1"/>
    <col min="7433" max="7433" width="7.5" customWidth="1"/>
    <col min="7434" max="7434" width="12.33203125" customWidth="1"/>
    <col min="7435" max="7435" width="14.33203125" customWidth="1"/>
    <col min="7436" max="7436" width="7.6640625" customWidth="1"/>
    <col min="7437" max="7437" width="12.6640625" customWidth="1"/>
    <col min="7438" max="7438" width="13.6640625" customWidth="1"/>
    <col min="7439" max="7439" width="9.1640625" customWidth="1"/>
    <col min="7440" max="7440" width="12.6640625" customWidth="1"/>
    <col min="7441" max="7441" width="15.33203125" customWidth="1"/>
    <col min="7442" max="7442" width="4" customWidth="1"/>
    <col min="7443" max="7443" width="13.33203125" customWidth="1"/>
    <col min="7681" max="7681" width="4" customWidth="1"/>
    <col min="7682" max="7682" width="25.1640625" customWidth="1"/>
    <col min="7683" max="7683" width="48.5" customWidth="1"/>
    <col min="7684" max="7684" width="12.33203125" customWidth="1"/>
    <col min="7685" max="7685" width="14.33203125" customWidth="1"/>
    <col min="7686" max="7686" width="9.1640625" customWidth="1"/>
    <col min="7687" max="7687" width="12.33203125" customWidth="1"/>
    <col min="7688" max="7688" width="14.33203125" customWidth="1"/>
    <col min="7689" max="7689" width="7.5" customWidth="1"/>
    <col min="7690" max="7690" width="12.33203125" customWidth="1"/>
    <col min="7691" max="7691" width="14.33203125" customWidth="1"/>
    <col min="7692" max="7692" width="7.6640625" customWidth="1"/>
    <col min="7693" max="7693" width="12.6640625" customWidth="1"/>
    <col min="7694" max="7694" width="13.6640625" customWidth="1"/>
    <col min="7695" max="7695" width="9.1640625" customWidth="1"/>
    <col min="7696" max="7696" width="12.6640625" customWidth="1"/>
    <col min="7697" max="7697" width="15.33203125" customWidth="1"/>
    <col min="7698" max="7698" width="4" customWidth="1"/>
    <col min="7699" max="7699" width="13.33203125" customWidth="1"/>
    <col min="7937" max="7937" width="4" customWidth="1"/>
    <col min="7938" max="7938" width="25.1640625" customWidth="1"/>
    <col min="7939" max="7939" width="48.5" customWidth="1"/>
    <col min="7940" max="7940" width="12.33203125" customWidth="1"/>
    <col min="7941" max="7941" width="14.33203125" customWidth="1"/>
    <col min="7942" max="7942" width="9.1640625" customWidth="1"/>
    <col min="7943" max="7943" width="12.33203125" customWidth="1"/>
    <col min="7944" max="7944" width="14.33203125" customWidth="1"/>
    <col min="7945" max="7945" width="7.5" customWidth="1"/>
    <col min="7946" max="7946" width="12.33203125" customWidth="1"/>
    <col min="7947" max="7947" width="14.33203125" customWidth="1"/>
    <col min="7948" max="7948" width="7.6640625" customWidth="1"/>
    <col min="7949" max="7949" width="12.6640625" customWidth="1"/>
    <col min="7950" max="7950" width="13.6640625" customWidth="1"/>
    <col min="7951" max="7951" width="9.1640625" customWidth="1"/>
    <col min="7952" max="7952" width="12.6640625" customWidth="1"/>
    <col min="7953" max="7953" width="15.33203125" customWidth="1"/>
    <col min="7954" max="7954" width="4" customWidth="1"/>
    <col min="7955" max="7955" width="13.33203125" customWidth="1"/>
    <col min="8193" max="8193" width="4" customWidth="1"/>
    <col min="8194" max="8194" width="25.1640625" customWidth="1"/>
    <col min="8195" max="8195" width="48.5" customWidth="1"/>
    <col min="8196" max="8196" width="12.33203125" customWidth="1"/>
    <col min="8197" max="8197" width="14.33203125" customWidth="1"/>
    <col min="8198" max="8198" width="9.1640625" customWidth="1"/>
    <col min="8199" max="8199" width="12.33203125" customWidth="1"/>
    <col min="8200" max="8200" width="14.33203125" customWidth="1"/>
    <col min="8201" max="8201" width="7.5" customWidth="1"/>
    <col min="8202" max="8202" width="12.33203125" customWidth="1"/>
    <col min="8203" max="8203" width="14.33203125" customWidth="1"/>
    <col min="8204" max="8204" width="7.6640625" customWidth="1"/>
    <col min="8205" max="8205" width="12.6640625" customWidth="1"/>
    <col min="8206" max="8206" width="13.6640625" customWidth="1"/>
    <col min="8207" max="8207" width="9.1640625" customWidth="1"/>
    <col min="8208" max="8208" width="12.6640625" customWidth="1"/>
    <col min="8209" max="8209" width="15.33203125" customWidth="1"/>
    <col min="8210" max="8210" width="4" customWidth="1"/>
    <col min="8211" max="8211" width="13.33203125" customWidth="1"/>
    <col min="8449" max="8449" width="4" customWidth="1"/>
    <col min="8450" max="8450" width="25.1640625" customWidth="1"/>
    <col min="8451" max="8451" width="48.5" customWidth="1"/>
    <col min="8452" max="8452" width="12.33203125" customWidth="1"/>
    <col min="8453" max="8453" width="14.33203125" customWidth="1"/>
    <col min="8454" max="8454" width="9.1640625" customWidth="1"/>
    <col min="8455" max="8455" width="12.33203125" customWidth="1"/>
    <col min="8456" max="8456" width="14.33203125" customWidth="1"/>
    <col min="8457" max="8457" width="7.5" customWidth="1"/>
    <col min="8458" max="8458" width="12.33203125" customWidth="1"/>
    <col min="8459" max="8459" width="14.33203125" customWidth="1"/>
    <col min="8460" max="8460" width="7.6640625" customWidth="1"/>
    <col min="8461" max="8461" width="12.6640625" customWidth="1"/>
    <col min="8462" max="8462" width="13.6640625" customWidth="1"/>
    <col min="8463" max="8463" width="9.1640625" customWidth="1"/>
    <col min="8464" max="8464" width="12.6640625" customWidth="1"/>
    <col min="8465" max="8465" width="15.33203125" customWidth="1"/>
    <col min="8466" max="8466" width="4" customWidth="1"/>
    <col min="8467" max="8467" width="13.33203125" customWidth="1"/>
    <col min="8705" max="8705" width="4" customWidth="1"/>
    <col min="8706" max="8706" width="25.1640625" customWidth="1"/>
    <col min="8707" max="8707" width="48.5" customWidth="1"/>
    <col min="8708" max="8708" width="12.33203125" customWidth="1"/>
    <col min="8709" max="8709" width="14.33203125" customWidth="1"/>
    <col min="8710" max="8710" width="9.1640625" customWidth="1"/>
    <col min="8711" max="8711" width="12.33203125" customWidth="1"/>
    <col min="8712" max="8712" width="14.33203125" customWidth="1"/>
    <col min="8713" max="8713" width="7.5" customWidth="1"/>
    <col min="8714" max="8714" width="12.33203125" customWidth="1"/>
    <col min="8715" max="8715" width="14.33203125" customWidth="1"/>
    <col min="8716" max="8716" width="7.6640625" customWidth="1"/>
    <col min="8717" max="8717" width="12.6640625" customWidth="1"/>
    <col min="8718" max="8718" width="13.6640625" customWidth="1"/>
    <col min="8719" max="8719" width="9.1640625" customWidth="1"/>
    <col min="8720" max="8720" width="12.6640625" customWidth="1"/>
    <col min="8721" max="8721" width="15.33203125" customWidth="1"/>
    <col min="8722" max="8722" width="4" customWidth="1"/>
    <col min="8723" max="8723" width="13.33203125" customWidth="1"/>
    <col min="8961" max="8961" width="4" customWidth="1"/>
    <col min="8962" max="8962" width="25.1640625" customWidth="1"/>
    <col min="8963" max="8963" width="48.5" customWidth="1"/>
    <col min="8964" max="8964" width="12.33203125" customWidth="1"/>
    <col min="8965" max="8965" width="14.33203125" customWidth="1"/>
    <col min="8966" max="8966" width="9.1640625" customWidth="1"/>
    <col min="8967" max="8967" width="12.33203125" customWidth="1"/>
    <col min="8968" max="8968" width="14.33203125" customWidth="1"/>
    <col min="8969" max="8969" width="7.5" customWidth="1"/>
    <col min="8970" max="8970" width="12.33203125" customWidth="1"/>
    <col min="8971" max="8971" width="14.33203125" customWidth="1"/>
    <col min="8972" max="8972" width="7.6640625" customWidth="1"/>
    <col min="8973" max="8973" width="12.6640625" customWidth="1"/>
    <col min="8974" max="8974" width="13.6640625" customWidth="1"/>
    <col min="8975" max="8975" width="9.1640625" customWidth="1"/>
    <col min="8976" max="8976" width="12.6640625" customWidth="1"/>
    <col min="8977" max="8977" width="15.33203125" customWidth="1"/>
    <col min="8978" max="8978" width="4" customWidth="1"/>
    <col min="8979" max="8979" width="13.33203125" customWidth="1"/>
    <col min="9217" max="9217" width="4" customWidth="1"/>
    <col min="9218" max="9218" width="25.1640625" customWidth="1"/>
    <col min="9219" max="9219" width="48.5" customWidth="1"/>
    <col min="9220" max="9220" width="12.33203125" customWidth="1"/>
    <col min="9221" max="9221" width="14.33203125" customWidth="1"/>
    <col min="9222" max="9222" width="9.1640625" customWidth="1"/>
    <col min="9223" max="9223" width="12.33203125" customWidth="1"/>
    <col min="9224" max="9224" width="14.33203125" customWidth="1"/>
    <col min="9225" max="9225" width="7.5" customWidth="1"/>
    <col min="9226" max="9226" width="12.33203125" customWidth="1"/>
    <col min="9227" max="9227" width="14.33203125" customWidth="1"/>
    <col min="9228" max="9228" width="7.6640625" customWidth="1"/>
    <col min="9229" max="9229" width="12.6640625" customWidth="1"/>
    <col min="9230" max="9230" width="13.6640625" customWidth="1"/>
    <col min="9231" max="9231" width="9.1640625" customWidth="1"/>
    <col min="9232" max="9232" width="12.6640625" customWidth="1"/>
    <col min="9233" max="9233" width="15.33203125" customWidth="1"/>
    <col min="9234" max="9234" width="4" customWidth="1"/>
    <col min="9235" max="9235" width="13.33203125" customWidth="1"/>
    <col min="9473" max="9473" width="4" customWidth="1"/>
    <col min="9474" max="9474" width="25.1640625" customWidth="1"/>
    <col min="9475" max="9475" width="48.5" customWidth="1"/>
    <col min="9476" max="9476" width="12.33203125" customWidth="1"/>
    <col min="9477" max="9477" width="14.33203125" customWidth="1"/>
    <col min="9478" max="9478" width="9.1640625" customWidth="1"/>
    <col min="9479" max="9479" width="12.33203125" customWidth="1"/>
    <col min="9480" max="9480" width="14.33203125" customWidth="1"/>
    <col min="9481" max="9481" width="7.5" customWidth="1"/>
    <col min="9482" max="9482" width="12.33203125" customWidth="1"/>
    <col min="9483" max="9483" width="14.33203125" customWidth="1"/>
    <col min="9484" max="9484" width="7.6640625" customWidth="1"/>
    <col min="9485" max="9485" width="12.6640625" customWidth="1"/>
    <col min="9486" max="9486" width="13.6640625" customWidth="1"/>
    <col min="9487" max="9487" width="9.1640625" customWidth="1"/>
    <col min="9488" max="9488" width="12.6640625" customWidth="1"/>
    <col min="9489" max="9489" width="15.33203125" customWidth="1"/>
    <col min="9490" max="9490" width="4" customWidth="1"/>
    <col min="9491" max="9491" width="13.33203125" customWidth="1"/>
    <col min="9729" max="9729" width="4" customWidth="1"/>
    <col min="9730" max="9730" width="25.1640625" customWidth="1"/>
    <col min="9731" max="9731" width="48.5" customWidth="1"/>
    <col min="9732" max="9732" width="12.33203125" customWidth="1"/>
    <col min="9733" max="9733" width="14.33203125" customWidth="1"/>
    <col min="9734" max="9734" width="9.1640625" customWidth="1"/>
    <col min="9735" max="9735" width="12.33203125" customWidth="1"/>
    <col min="9736" max="9736" width="14.33203125" customWidth="1"/>
    <col min="9737" max="9737" width="7.5" customWidth="1"/>
    <col min="9738" max="9738" width="12.33203125" customWidth="1"/>
    <col min="9739" max="9739" width="14.33203125" customWidth="1"/>
    <col min="9740" max="9740" width="7.6640625" customWidth="1"/>
    <col min="9741" max="9741" width="12.6640625" customWidth="1"/>
    <col min="9742" max="9742" width="13.6640625" customWidth="1"/>
    <col min="9743" max="9743" width="9.1640625" customWidth="1"/>
    <col min="9744" max="9744" width="12.6640625" customWidth="1"/>
    <col min="9745" max="9745" width="15.33203125" customWidth="1"/>
    <col min="9746" max="9746" width="4" customWidth="1"/>
    <col min="9747" max="9747" width="13.33203125" customWidth="1"/>
    <col min="9985" max="9985" width="4" customWidth="1"/>
    <col min="9986" max="9986" width="25.1640625" customWidth="1"/>
    <col min="9987" max="9987" width="48.5" customWidth="1"/>
    <col min="9988" max="9988" width="12.33203125" customWidth="1"/>
    <col min="9989" max="9989" width="14.33203125" customWidth="1"/>
    <col min="9990" max="9990" width="9.1640625" customWidth="1"/>
    <col min="9991" max="9991" width="12.33203125" customWidth="1"/>
    <col min="9992" max="9992" width="14.33203125" customWidth="1"/>
    <col min="9993" max="9993" width="7.5" customWidth="1"/>
    <col min="9994" max="9994" width="12.33203125" customWidth="1"/>
    <col min="9995" max="9995" width="14.33203125" customWidth="1"/>
    <col min="9996" max="9996" width="7.6640625" customWidth="1"/>
    <col min="9997" max="9997" width="12.6640625" customWidth="1"/>
    <col min="9998" max="9998" width="13.6640625" customWidth="1"/>
    <col min="9999" max="9999" width="9.1640625" customWidth="1"/>
    <col min="10000" max="10000" width="12.6640625" customWidth="1"/>
    <col min="10001" max="10001" width="15.33203125" customWidth="1"/>
    <col min="10002" max="10002" width="4" customWidth="1"/>
    <col min="10003" max="10003" width="13.33203125" customWidth="1"/>
    <col min="10241" max="10241" width="4" customWidth="1"/>
    <col min="10242" max="10242" width="25.1640625" customWidth="1"/>
    <col min="10243" max="10243" width="48.5" customWidth="1"/>
    <col min="10244" max="10244" width="12.33203125" customWidth="1"/>
    <col min="10245" max="10245" width="14.33203125" customWidth="1"/>
    <col min="10246" max="10246" width="9.1640625" customWidth="1"/>
    <col min="10247" max="10247" width="12.33203125" customWidth="1"/>
    <col min="10248" max="10248" width="14.33203125" customWidth="1"/>
    <col min="10249" max="10249" width="7.5" customWidth="1"/>
    <col min="10250" max="10250" width="12.33203125" customWidth="1"/>
    <col min="10251" max="10251" width="14.33203125" customWidth="1"/>
    <col min="10252" max="10252" width="7.6640625" customWidth="1"/>
    <col min="10253" max="10253" width="12.6640625" customWidth="1"/>
    <col min="10254" max="10254" width="13.6640625" customWidth="1"/>
    <col min="10255" max="10255" width="9.1640625" customWidth="1"/>
    <col min="10256" max="10256" width="12.6640625" customWidth="1"/>
    <col min="10257" max="10257" width="15.33203125" customWidth="1"/>
    <col min="10258" max="10258" width="4" customWidth="1"/>
    <col min="10259" max="10259" width="13.33203125" customWidth="1"/>
    <col min="10497" max="10497" width="4" customWidth="1"/>
    <col min="10498" max="10498" width="25.1640625" customWidth="1"/>
    <col min="10499" max="10499" width="48.5" customWidth="1"/>
    <col min="10500" max="10500" width="12.33203125" customWidth="1"/>
    <col min="10501" max="10501" width="14.33203125" customWidth="1"/>
    <col min="10502" max="10502" width="9.1640625" customWidth="1"/>
    <col min="10503" max="10503" width="12.33203125" customWidth="1"/>
    <col min="10504" max="10504" width="14.33203125" customWidth="1"/>
    <col min="10505" max="10505" width="7.5" customWidth="1"/>
    <col min="10506" max="10506" width="12.33203125" customWidth="1"/>
    <col min="10507" max="10507" width="14.33203125" customWidth="1"/>
    <col min="10508" max="10508" width="7.6640625" customWidth="1"/>
    <col min="10509" max="10509" width="12.6640625" customWidth="1"/>
    <col min="10510" max="10510" width="13.6640625" customWidth="1"/>
    <col min="10511" max="10511" width="9.1640625" customWidth="1"/>
    <col min="10512" max="10512" width="12.6640625" customWidth="1"/>
    <col min="10513" max="10513" width="15.33203125" customWidth="1"/>
    <col min="10514" max="10514" width="4" customWidth="1"/>
    <col min="10515" max="10515" width="13.33203125" customWidth="1"/>
    <col min="10753" max="10753" width="4" customWidth="1"/>
    <col min="10754" max="10754" width="25.1640625" customWidth="1"/>
    <col min="10755" max="10755" width="48.5" customWidth="1"/>
    <col min="10756" max="10756" width="12.33203125" customWidth="1"/>
    <col min="10757" max="10757" width="14.33203125" customWidth="1"/>
    <col min="10758" max="10758" width="9.1640625" customWidth="1"/>
    <col min="10759" max="10759" width="12.33203125" customWidth="1"/>
    <col min="10760" max="10760" width="14.33203125" customWidth="1"/>
    <col min="10761" max="10761" width="7.5" customWidth="1"/>
    <col min="10762" max="10762" width="12.33203125" customWidth="1"/>
    <col min="10763" max="10763" width="14.33203125" customWidth="1"/>
    <col min="10764" max="10764" width="7.6640625" customWidth="1"/>
    <col min="10765" max="10765" width="12.6640625" customWidth="1"/>
    <col min="10766" max="10766" width="13.6640625" customWidth="1"/>
    <col min="10767" max="10767" width="9.1640625" customWidth="1"/>
    <col min="10768" max="10768" width="12.6640625" customWidth="1"/>
    <col min="10769" max="10769" width="15.33203125" customWidth="1"/>
    <col min="10770" max="10770" width="4" customWidth="1"/>
    <col min="10771" max="10771" width="13.33203125" customWidth="1"/>
    <col min="11009" max="11009" width="4" customWidth="1"/>
    <col min="11010" max="11010" width="25.1640625" customWidth="1"/>
    <col min="11011" max="11011" width="48.5" customWidth="1"/>
    <col min="11012" max="11012" width="12.33203125" customWidth="1"/>
    <col min="11013" max="11013" width="14.33203125" customWidth="1"/>
    <col min="11014" max="11014" width="9.1640625" customWidth="1"/>
    <col min="11015" max="11015" width="12.33203125" customWidth="1"/>
    <col min="11016" max="11016" width="14.33203125" customWidth="1"/>
    <col min="11017" max="11017" width="7.5" customWidth="1"/>
    <col min="11018" max="11018" width="12.33203125" customWidth="1"/>
    <col min="11019" max="11019" width="14.33203125" customWidth="1"/>
    <col min="11020" max="11020" width="7.6640625" customWidth="1"/>
    <col min="11021" max="11021" width="12.6640625" customWidth="1"/>
    <col min="11022" max="11022" width="13.6640625" customWidth="1"/>
    <col min="11023" max="11023" width="9.1640625" customWidth="1"/>
    <col min="11024" max="11024" width="12.6640625" customWidth="1"/>
    <col min="11025" max="11025" width="15.33203125" customWidth="1"/>
    <col min="11026" max="11026" width="4" customWidth="1"/>
    <col min="11027" max="11027" width="13.33203125" customWidth="1"/>
    <col min="11265" max="11265" width="4" customWidth="1"/>
    <col min="11266" max="11266" width="25.1640625" customWidth="1"/>
    <col min="11267" max="11267" width="48.5" customWidth="1"/>
    <col min="11268" max="11268" width="12.33203125" customWidth="1"/>
    <col min="11269" max="11269" width="14.33203125" customWidth="1"/>
    <col min="11270" max="11270" width="9.1640625" customWidth="1"/>
    <col min="11271" max="11271" width="12.33203125" customWidth="1"/>
    <col min="11272" max="11272" width="14.33203125" customWidth="1"/>
    <col min="11273" max="11273" width="7.5" customWidth="1"/>
    <col min="11274" max="11274" width="12.33203125" customWidth="1"/>
    <col min="11275" max="11275" width="14.33203125" customWidth="1"/>
    <col min="11276" max="11276" width="7.6640625" customWidth="1"/>
    <col min="11277" max="11277" width="12.6640625" customWidth="1"/>
    <col min="11278" max="11278" width="13.6640625" customWidth="1"/>
    <col min="11279" max="11279" width="9.1640625" customWidth="1"/>
    <col min="11280" max="11280" width="12.6640625" customWidth="1"/>
    <col min="11281" max="11281" width="15.33203125" customWidth="1"/>
    <col min="11282" max="11282" width="4" customWidth="1"/>
    <col min="11283" max="11283" width="13.33203125" customWidth="1"/>
    <col min="11521" max="11521" width="4" customWidth="1"/>
    <col min="11522" max="11522" width="25.1640625" customWidth="1"/>
    <col min="11523" max="11523" width="48.5" customWidth="1"/>
    <col min="11524" max="11524" width="12.33203125" customWidth="1"/>
    <col min="11525" max="11525" width="14.33203125" customWidth="1"/>
    <col min="11526" max="11526" width="9.1640625" customWidth="1"/>
    <col min="11527" max="11527" width="12.33203125" customWidth="1"/>
    <col min="11528" max="11528" width="14.33203125" customWidth="1"/>
    <col min="11529" max="11529" width="7.5" customWidth="1"/>
    <col min="11530" max="11530" width="12.33203125" customWidth="1"/>
    <col min="11531" max="11531" width="14.33203125" customWidth="1"/>
    <col min="11532" max="11532" width="7.6640625" customWidth="1"/>
    <col min="11533" max="11533" width="12.6640625" customWidth="1"/>
    <col min="11534" max="11534" width="13.6640625" customWidth="1"/>
    <col min="11535" max="11535" width="9.1640625" customWidth="1"/>
    <col min="11536" max="11536" width="12.6640625" customWidth="1"/>
    <col min="11537" max="11537" width="15.33203125" customWidth="1"/>
    <col min="11538" max="11538" width="4" customWidth="1"/>
    <col min="11539" max="11539" width="13.33203125" customWidth="1"/>
    <col min="11777" max="11777" width="4" customWidth="1"/>
    <col min="11778" max="11778" width="25.1640625" customWidth="1"/>
    <col min="11779" max="11779" width="48.5" customWidth="1"/>
    <col min="11780" max="11780" width="12.33203125" customWidth="1"/>
    <col min="11781" max="11781" width="14.33203125" customWidth="1"/>
    <col min="11782" max="11782" width="9.1640625" customWidth="1"/>
    <col min="11783" max="11783" width="12.33203125" customWidth="1"/>
    <col min="11784" max="11784" width="14.33203125" customWidth="1"/>
    <col min="11785" max="11785" width="7.5" customWidth="1"/>
    <col min="11786" max="11786" width="12.33203125" customWidth="1"/>
    <col min="11787" max="11787" width="14.33203125" customWidth="1"/>
    <col min="11788" max="11788" width="7.6640625" customWidth="1"/>
    <col min="11789" max="11789" width="12.6640625" customWidth="1"/>
    <col min="11790" max="11790" width="13.6640625" customWidth="1"/>
    <col min="11791" max="11791" width="9.1640625" customWidth="1"/>
    <col min="11792" max="11792" width="12.6640625" customWidth="1"/>
    <col min="11793" max="11793" width="15.33203125" customWidth="1"/>
    <col min="11794" max="11794" width="4" customWidth="1"/>
    <col min="11795" max="11795" width="13.33203125" customWidth="1"/>
    <col min="12033" max="12033" width="4" customWidth="1"/>
    <col min="12034" max="12034" width="25.1640625" customWidth="1"/>
    <col min="12035" max="12035" width="48.5" customWidth="1"/>
    <col min="12036" max="12036" width="12.33203125" customWidth="1"/>
    <col min="12037" max="12037" width="14.33203125" customWidth="1"/>
    <col min="12038" max="12038" width="9.1640625" customWidth="1"/>
    <col min="12039" max="12039" width="12.33203125" customWidth="1"/>
    <col min="12040" max="12040" width="14.33203125" customWidth="1"/>
    <col min="12041" max="12041" width="7.5" customWidth="1"/>
    <col min="12042" max="12042" width="12.33203125" customWidth="1"/>
    <col min="12043" max="12043" width="14.33203125" customWidth="1"/>
    <col min="12044" max="12044" width="7.6640625" customWidth="1"/>
    <col min="12045" max="12045" width="12.6640625" customWidth="1"/>
    <col min="12046" max="12046" width="13.6640625" customWidth="1"/>
    <col min="12047" max="12047" width="9.1640625" customWidth="1"/>
    <col min="12048" max="12048" width="12.6640625" customWidth="1"/>
    <col min="12049" max="12049" width="15.33203125" customWidth="1"/>
    <col min="12050" max="12050" width="4" customWidth="1"/>
    <col min="12051" max="12051" width="13.33203125" customWidth="1"/>
    <col min="12289" max="12289" width="4" customWidth="1"/>
    <col min="12290" max="12290" width="25.1640625" customWidth="1"/>
    <col min="12291" max="12291" width="48.5" customWidth="1"/>
    <col min="12292" max="12292" width="12.33203125" customWidth="1"/>
    <col min="12293" max="12293" width="14.33203125" customWidth="1"/>
    <col min="12294" max="12294" width="9.1640625" customWidth="1"/>
    <col min="12295" max="12295" width="12.33203125" customWidth="1"/>
    <col min="12296" max="12296" width="14.33203125" customWidth="1"/>
    <col min="12297" max="12297" width="7.5" customWidth="1"/>
    <col min="12298" max="12298" width="12.33203125" customWidth="1"/>
    <col min="12299" max="12299" width="14.33203125" customWidth="1"/>
    <col min="12300" max="12300" width="7.6640625" customWidth="1"/>
    <col min="12301" max="12301" width="12.6640625" customWidth="1"/>
    <col min="12302" max="12302" width="13.6640625" customWidth="1"/>
    <col min="12303" max="12303" width="9.1640625" customWidth="1"/>
    <col min="12304" max="12304" width="12.6640625" customWidth="1"/>
    <col min="12305" max="12305" width="15.33203125" customWidth="1"/>
    <col min="12306" max="12306" width="4" customWidth="1"/>
    <col min="12307" max="12307" width="13.33203125" customWidth="1"/>
    <col min="12545" max="12545" width="4" customWidth="1"/>
    <col min="12546" max="12546" width="25.1640625" customWidth="1"/>
    <col min="12547" max="12547" width="48.5" customWidth="1"/>
    <col min="12548" max="12548" width="12.33203125" customWidth="1"/>
    <col min="12549" max="12549" width="14.33203125" customWidth="1"/>
    <col min="12550" max="12550" width="9.1640625" customWidth="1"/>
    <col min="12551" max="12551" width="12.33203125" customWidth="1"/>
    <col min="12552" max="12552" width="14.33203125" customWidth="1"/>
    <col min="12553" max="12553" width="7.5" customWidth="1"/>
    <col min="12554" max="12554" width="12.33203125" customWidth="1"/>
    <col min="12555" max="12555" width="14.33203125" customWidth="1"/>
    <col min="12556" max="12556" width="7.6640625" customWidth="1"/>
    <col min="12557" max="12557" width="12.6640625" customWidth="1"/>
    <col min="12558" max="12558" width="13.6640625" customWidth="1"/>
    <col min="12559" max="12559" width="9.1640625" customWidth="1"/>
    <col min="12560" max="12560" width="12.6640625" customWidth="1"/>
    <col min="12561" max="12561" width="15.33203125" customWidth="1"/>
    <col min="12562" max="12562" width="4" customWidth="1"/>
    <col min="12563" max="12563" width="13.33203125" customWidth="1"/>
    <col min="12801" max="12801" width="4" customWidth="1"/>
    <col min="12802" max="12802" width="25.1640625" customWidth="1"/>
    <col min="12803" max="12803" width="48.5" customWidth="1"/>
    <col min="12804" max="12804" width="12.33203125" customWidth="1"/>
    <col min="12805" max="12805" width="14.33203125" customWidth="1"/>
    <col min="12806" max="12806" width="9.1640625" customWidth="1"/>
    <col min="12807" max="12807" width="12.33203125" customWidth="1"/>
    <col min="12808" max="12808" width="14.33203125" customWidth="1"/>
    <col min="12809" max="12809" width="7.5" customWidth="1"/>
    <col min="12810" max="12810" width="12.33203125" customWidth="1"/>
    <col min="12811" max="12811" width="14.33203125" customWidth="1"/>
    <col min="12812" max="12812" width="7.6640625" customWidth="1"/>
    <col min="12813" max="12813" width="12.6640625" customWidth="1"/>
    <col min="12814" max="12814" width="13.6640625" customWidth="1"/>
    <col min="12815" max="12815" width="9.1640625" customWidth="1"/>
    <col min="12816" max="12816" width="12.6640625" customWidth="1"/>
    <col min="12817" max="12817" width="15.33203125" customWidth="1"/>
    <col min="12818" max="12818" width="4" customWidth="1"/>
    <col min="12819" max="12819" width="13.33203125" customWidth="1"/>
    <col min="13057" max="13057" width="4" customWidth="1"/>
    <col min="13058" max="13058" width="25.1640625" customWidth="1"/>
    <col min="13059" max="13059" width="48.5" customWidth="1"/>
    <col min="13060" max="13060" width="12.33203125" customWidth="1"/>
    <col min="13061" max="13061" width="14.33203125" customWidth="1"/>
    <col min="13062" max="13062" width="9.1640625" customWidth="1"/>
    <col min="13063" max="13063" width="12.33203125" customWidth="1"/>
    <col min="13064" max="13064" width="14.33203125" customWidth="1"/>
    <col min="13065" max="13065" width="7.5" customWidth="1"/>
    <col min="13066" max="13066" width="12.33203125" customWidth="1"/>
    <col min="13067" max="13067" width="14.33203125" customWidth="1"/>
    <col min="13068" max="13068" width="7.6640625" customWidth="1"/>
    <col min="13069" max="13069" width="12.6640625" customWidth="1"/>
    <col min="13070" max="13070" width="13.6640625" customWidth="1"/>
    <col min="13071" max="13071" width="9.1640625" customWidth="1"/>
    <col min="13072" max="13072" width="12.6640625" customWidth="1"/>
    <col min="13073" max="13073" width="15.33203125" customWidth="1"/>
    <col min="13074" max="13074" width="4" customWidth="1"/>
    <col min="13075" max="13075" width="13.33203125" customWidth="1"/>
    <col min="13313" max="13313" width="4" customWidth="1"/>
    <col min="13314" max="13314" width="25.1640625" customWidth="1"/>
    <col min="13315" max="13315" width="48.5" customWidth="1"/>
    <col min="13316" max="13316" width="12.33203125" customWidth="1"/>
    <col min="13317" max="13317" width="14.33203125" customWidth="1"/>
    <col min="13318" max="13318" width="9.1640625" customWidth="1"/>
    <col min="13319" max="13319" width="12.33203125" customWidth="1"/>
    <col min="13320" max="13320" width="14.33203125" customWidth="1"/>
    <col min="13321" max="13321" width="7.5" customWidth="1"/>
    <col min="13322" max="13322" width="12.33203125" customWidth="1"/>
    <col min="13323" max="13323" width="14.33203125" customWidth="1"/>
    <col min="13324" max="13324" width="7.6640625" customWidth="1"/>
    <col min="13325" max="13325" width="12.6640625" customWidth="1"/>
    <col min="13326" max="13326" width="13.6640625" customWidth="1"/>
    <col min="13327" max="13327" width="9.1640625" customWidth="1"/>
    <col min="13328" max="13328" width="12.6640625" customWidth="1"/>
    <col min="13329" max="13329" width="15.33203125" customWidth="1"/>
    <col min="13330" max="13330" width="4" customWidth="1"/>
    <col min="13331" max="13331" width="13.33203125" customWidth="1"/>
    <col min="13569" max="13569" width="4" customWidth="1"/>
    <col min="13570" max="13570" width="25.1640625" customWidth="1"/>
    <col min="13571" max="13571" width="48.5" customWidth="1"/>
    <col min="13572" max="13572" width="12.33203125" customWidth="1"/>
    <col min="13573" max="13573" width="14.33203125" customWidth="1"/>
    <col min="13574" max="13574" width="9.1640625" customWidth="1"/>
    <col min="13575" max="13575" width="12.33203125" customWidth="1"/>
    <col min="13576" max="13576" width="14.33203125" customWidth="1"/>
    <col min="13577" max="13577" width="7.5" customWidth="1"/>
    <col min="13578" max="13578" width="12.33203125" customWidth="1"/>
    <col min="13579" max="13579" width="14.33203125" customWidth="1"/>
    <col min="13580" max="13580" width="7.6640625" customWidth="1"/>
    <col min="13581" max="13581" width="12.6640625" customWidth="1"/>
    <col min="13582" max="13582" width="13.6640625" customWidth="1"/>
    <col min="13583" max="13583" width="9.1640625" customWidth="1"/>
    <col min="13584" max="13584" width="12.6640625" customWidth="1"/>
    <col min="13585" max="13585" width="15.33203125" customWidth="1"/>
    <col min="13586" max="13586" width="4" customWidth="1"/>
    <col min="13587" max="13587" width="13.33203125" customWidth="1"/>
    <col min="13825" max="13825" width="4" customWidth="1"/>
    <col min="13826" max="13826" width="25.1640625" customWidth="1"/>
    <col min="13827" max="13827" width="48.5" customWidth="1"/>
    <col min="13828" max="13828" width="12.33203125" customWidth="1"/>
    <col min="13829" max="13829" width="14.33203125" customWidth="1"/>
    <col min="13830" max="13830" width="9.1640625" customWidth="1"/>
    <col min="13831" max="13831" width="12.33203125" customWidth="1"/>
    <col min="13832" max="13832" width="14.33203125" customWidth="1"/>
    <col min="13833" max="13833" width="7.5" customWidth="1"/>
    <col min="13834" max="13834" width="12.33203125" customWidth="1"/>
    <col min="13835" max="13835" width="14.33203125" customWidth="1"/>
    <col min="13836" max="13836" width="7.6640625" customWidth="1"/>
    <col min="13837" max="13837" width="12.6640625" customWidth="1"/>
    <col min="13838" max="13838" width="13.6640625" customWidth="1"/>
    <col min="13839" max="13839" width="9.1640625" customWidth="1"/>
    <col min="13840" max="13840" width="12.6640625" customWidth="1"/>
    <col min="13841" max="13841" width="15.33203125" customWidth="1"/>
    <col min="13842" max="13842" width="4" customWidth="1"/>
    <col min="13843" max="13843" width="13.33203125" customWidth="1"/>
    <col min="14081" max="14081" width="4" customWidth="1"/>
    <col min="14082" max="14082" width="25.1640625" customWidth="1"/>
    <col min="14083" max="14083" width="48.5" customWidth="1"/>
    <col min="14084" max="14084" width="12.33203125" customWidth="1"/>
    <col min="14085" max="14085" width="14.33203125" customWidth="1"/>
    <col min="14086" max="14086" width="9.1640625" customWidth="1"/>
    <col min="14087" max="14087" width="12.33203125" customWidth="1"/>
    <col min="14088" max="14088" width="14.33203125" customWidth="1"/>
    <col min="14089" max="14089" width="7.5" customWidth="1"/>
    <col min="14090" max="14090" width="12.33203125" customWidth="1"/>
    <col min="14091" max="14091" width="14.33203125" customWidth="1"/>
    <col min="14092" max="14092" width="7.6640625" customWidth="1"/>
    <col min="14093" max="14093" width="12.6640625" customWidth="1"/>
    <col min="14094" max="14094" width="13.6640625" customWidth="1"/>
    <col min="14095" max="14095" width="9.1640625" customWidth="1"/>
    <col min="14096" max="14096" width="12.6640625" customWidth="1"/>
    <col min="14097" max="14097" width="15.33203125" customWidth="1"/>
    <col min="14098" max="14098" width="4" customWidth="1"/>
    <col min="14099" max="14099" width="13.33203125" customWidth="1"/>
    <col min="14337" max="14337" width="4" customWidth="1"/>
    <col min="14338" max="14338" width="25.1640625" customWidth="1"/>
    <col min="14339" max="14339" width="48.5" customWidth="1"/>
    <col min="14340" max="14340" width="12.33203125" customWidth="1"/>
    <col min="14341" max="14341" width="14.33203125" customWidth="1"/>
    <col min="14342" max="14342" width="9.1640625" customWidth="1"/>
    <col min="14343" max="14343" width="12.33203125" customWidth="1"/>
    <col min="14344" max="14344" width="14.33203125" customWidth="1"/>
    <col min="14345" max="14345" width="7.5" customWidth="1"/>
    <col min="14346" max="14346" width="12.33203125" customWidth="1"/>
    <col min="14347" max="14347" width="14.33203125" customWidth="1"/>
    <col min="14348" max="14348" width="7.6640625" customWidth="1"/>
    <col min="14349" max="14349" width="12.6640625" customWidth="1"/>
    <col min="14350" max="14350" width="13.6640625" customWidth="1"/>
    <col min="14351" max="14351" width="9.1640625" customWidth="1"/>
    <col min="14352" max="14352" width="12.6640625" customWidth="1"/>
    <col min="14353" max="14353" width="15.33203125" customWidth="1"/>
    <col min="14354" max="14354" width="4" customWidth="1"/>
    <col min="14355" max="14355" width="13.33203125" customWidth="1"/>
    <col min="14593" max="14593" width="4" customWidth="1"/>
    <col min="14594" max="14594" width="25.1640625" customWidth="1"/>
    <col min="14595" max="14595" width="48.5" customWidth="1"/>
    <col min="14596" max="14596" width="12.33203125" customWidth="1"/>
    <col min="14597" max="14597" width="14.33203125" customWidth="1"/>
    <col min="14598" max="14598" width="9.1640625" customWidth="1"/>
    <col min="14599" max="14599" width="12.33203125" customWidth="1"/>
    <col min="14600" max="14600" width="14.33203125" customWidth="1"/>
    <col min="14601" max="14601" width="7.5" customWidth="1"/>
    <col min="14602" max="14602" width="12.33203125" customWidth="1"/>
    <col min="14603" max="14603" width="14.33203125" customWidth="1"/>
    <col min="14604" max="14604" width="7.6640625" customWidth="1"/>
    <col min="14605" max="14605" width="12.6640625" customWidth="1"/>
    <col min="14606" max="14606" width="13.6640625" customWidth="1"/>
    <col min="14607" max="14607" width="9.1640625" customWidth="1"/>
    <col min="14608" max="14608" width="12.6640625" customWidth="1"/>
    <col min="14609" max="14609" width="15.33203125" customWidth="1"/>
    <col min="14610" max="14610" width="4" customWidth="1"/>
    <col min="14611" max="14611" width="13.33203125" customWidth="1"/>
    <col min="14849" max="14849" width="4" customWidth="1"/>
    <col min="14850" max="14850" width="25.1640625" customWidth="1"/>
    <col min="14851" max="14851" width="48.5" customWidth="1"/>
    <col min="14852" max="14852" width="12.33203125" customWidth="1"/>
    <col min="14853" max="14853" width="14.33203125" customWidth="1"/>
    <col min="14854" max="14854" width="9.1640625" customWidth="1"/>
    <col min="14855" max="14855" width="12.33203125" customWidth="1"/>
    <col min="14856" max="14856" width="14.33203125" customWidth="1"/>
    <col min="14857" max="14857" width="7.5" customWidth="1"/>
    <col min="14858" max="14858" width="12.33203125" customWidth="1"/>
    <col min="14859" max="14859" width="14.33203125" customWidth="1"/>
    <col min="14860" max="14860" width="7.6640625" customWidth="1"/>
    <col min="14861" max="14861" width="12.6640625" customWidth="1"/>
    <col min="14862" max="14862" width="13.6640625" customWidth="1"/>
    <col min="14863" max="14863" width="9.1640625" customWidth="1"/>
    <col min="14864" max="14864" width="12.6640625" customWidth="1"/>
    <col min="14865" max="14865" width="15.33203125" customWidth="1"/>
    <col min="14866" max="14866" width="4" customWidth="1"/>
    <col min="14867" max="14867" width="13.33203125" customWidth="1"/>
    <col min="15105" max="15105" width="4" customWidth="1"/>
    <col min="15106" max="15106" width="25.1640625" customWidth="1"/>
    <col min="15107" max="15107" width="48.5" customWidth="1"/>
    <col min="15108" max="15108" width="12.33203125" customWidth="1"/>
    <col min="15109" max="15109" width="14.33203125" customWidth="1"/>
    <col min="15110" max="15110" width="9.1640625" customWidth="1"/>
    <col min="15111" max="15111" width="12.33203125" customWidth="1"/>
    <col min="15112" max="15112" width="14.33203125" customWidth="1"/>
    <col min="15113" max="15113" width="7.5" customWidth="1"/>
    <col min="15114" max="15114" width="12.33203125" customWidth="1"/>
    <col min="15115" max="15115" width="14.33203125" customWidth="1"/>
    <col min="15116" max="15116" width="7.6640625" customWidth="1"/>
    <col min="15117" max="15117" width="12.6640625" customWidth="1"/>
    <col min="15118" max="15118" width="13.6640625" customWidth="1"/>
    <col min="15119" max="15119" width="9.1640625" customWidth="1"/>
    <col min="15120" max="15120" width="12.6640625" customWidth="1"/>
    <col min="15121" max="15121" width="15.33203125" customWidth="1"/>
    <col min="15122" max="15122" width="4" customWidth="1"/>
    <col min="15123" max="15123" width="13.33203125" customWidth="1"/>
    <col min="15361" max="15361" width="4" customWidth="1"/>
    <col min="15362" max="15362" width="25.1640625" customWidth="1"/>
    <col min="15363" max="15363" width="48.5" customWidth="1"/>
    <col min="15364" max="15364" width="12.33203125" customWidth="1"/>
    <col min="15365" max="15365" width="14.33203125" customWidth="1"/>
    <col min="15366" max="15366" width="9.1640625" customWidth="1"/>
    <col min="15367" max="15367" width="12.33203125" customWidth="1"/>
    <col min="15368" max="15368" width="14.33203125" customWidth="1"/>
    <col min="15369" max="15369" width="7.5" customWidth="1"/>
    <col min="15370" max="15370" width="12.33203125" customWidth="1"/>
    <col min="15371" max="15371" width="14.33203125" customWidth="1"/>
    <col min="15372" max="15372" width="7.6640625" customWidth="1"/>
    <col min="15373" max="15373" width="12.6640625" customWidth="1"/>
    <col min="15374" max="15374" width="13.6640625" customWidth="1"/>
    <col min="15375" max="15375" width="9.1640625" customWidth="1"/>
    <col min="15376" max="15376" width="12.6640625" customWidth="1"/>
    <col min="15377" max="15377" width="15.33203125" customWidth="1"/>
    <col min="15378" max="15378" width="4" customWidth="1"/>
    <col min="15379" max="15379" width="13.33203125" customWidth="1"/>
    <col min="15617" max="15617" width="4" customWidth="1"/>
    <col min="15618" max="15618" width="25.1640625" customWidth="1"/>
    <col min="15619" max="15619" width="48.5" customWidth="1"/>
    <col min="15620" max="15620" width="12.33203125" customWidth="1"/>
    <col min="15621" max="15621" width="14.33203125" customWidth="1"/>
    <col min="15622" max="15622" width="9.1640625" customWidth="1"/>
    <col min="15623" max="15623" width="12.33203125" customWidth="1"/>
    <col min="15624" max="15624" width="14.33203125" customWidth="1"/>
    <col min="15625" max="15625" width="7.5" customWidth="1"/>
    <col min="15626" max="15626" width="12.33203125" customWidth="1"/>
    <col min="15627" max="15627" width="14.33203125" customWidth="1"/>
    <col min="15628" max="15628" width="7.6640625" customWidth="1"/>
    <col min="15629" max="15629" width="12.6640625" customWidth="1"/>
    <col min="15630" max="15630" width="13.6640625" customWidth="1"/>
    <col min="15631" max="15631" width="9.1640625" customWidth="1"/>
    <col min="15632" max="15632" width="12.6640625" customWidth="1"/>
    <col min="15633" max="15633" width="15.33203125" customWidth="1"/>
    <col min="15634" max="15634" width="4" customWidth="1"/>
    <col min="15635" max="15635" width="13.33203125" customWidth="1"/>
    <col min="15873" max="15873" width="4" customWidth="1"/>
    <col min="15874" max="15874" width="25.1640625" customWidth="1"/>
    <col min="15875" max="15875" width="48.5" customWidth="1"/>
    <col min="15876" max="15876" width="12.33203125" customWidth="1"/>
    <col min="15877" max="15877" width="14.33203125" customWidth="1"/>
    <col min="15878" max="15878" width="9.1640625" customWidth="1"/>
    <col min="15879" max="15879" width="12.33203125" customWidth="1"/>
    <col min="15880" max="15880" width="14.33203125" customWidth="1"/>
    <col min="15881" max="15881" width="7.5" customWidth="1"/>
    <col min="15882" max="15882" width="12.33203125" customWidth="1"/>
    <col min="15883" max="15883" width="14.33203125" customWidth="1"/>
    <col min="15884" max="15884" width="7.6640625" customWidth="1"/>
    <col min="15885" max="15885" width="12.6640625" customWidth="1"/>
    <col min="15886" max="15886" width="13.6640625" customWidth="1"/>
    <col min="15887" max="15887" width="9.1640625" customWidth="1"/>
    <col min="15888" max="15888" width="12.6640625" customWidth="1"/>
    <col min="15889" max="15889" width="15.33203125" customWidth="1"/>
    <col min="15890" max="15890" width="4" customWidth="1"/>
    <col min="15891" max="15891" width="13.33203125" customWidth="1"/>
    <col min="16129" max="16129" width="4" customWidth="1"/>
    <col min="16130" max="16130" width="25.1640625" customWidth="1"/>
    <col min="16131" max="16131" width="48.5" customWidth="1"/>
    <col min="16132" max="16132" width="12.33203125" customWidth="1"/>
    <col min="16133" max="16133" width="14.33203125" customWidth="1"/>
    <col min="16134" max="16134" width="9.1640625" customWidth="1"/>
    <col min="16135" max="16135" width="12.33203125" customWidth="1"/>
    <col min="16136" max="16136" width="14.33203125" customWidth="1"/>
    <col min="16137" max="16137" width="7.5" customWidth="1"/>
    <col min="16138" max="16138" width="12.33203125" customWidth="1"/>
    <col min="16139" max="16139" width="14.33203125" customWidth="1"/>
    <col min="16140" max="16140" width="7.6640625" customWidth="1"/>
    <col min="16141" max="16141" width="12.6640625" customWidth="1"/>
    <col min="16142" max="16142" width="13.6640625" customWidth="1"/>
    <col min="16143" max="16143" width="9.1640625" customWidth="1"/>
    <col min="16144" max="16144" width="12.6640625" customWidth="1"/>
    <col min="16145" max="16145" width="15.33203125" customWidth="1"/>
    <col min="16146" max="16146" width="4" customWidth="1"/>
    <col min="16147" max="16147" width="13.33203125" customWidth="1"/>
  </cols>
  <sheetData>
    <row r="1" spans="1:24" ht="18" thickBot="1">
      <c r="A1" s="35">
        <v>1</v>
      </c>
      <c r="B1" s="36" t="s">
        <v>186</v>
      </c>
      <c r="C1" s="37"/>
      <c r="D1" s="38" t="s">
        <v>16</v>
      </c>
      <c r="E1" s="39"/>
      <c r="F1" s="39"/>
      <c r="G1" s="39" t="s">
        <v>17</v>
      </c>
      <c r="H1" s="39"/>
      <c r="I1" s="39"/>
      <c r="J1" s="39" t="s">
        <v>18</v>
      </c>
      <c r="K1" s="39"/>
      <c r="L1" s="39"/>
      <c r="M1" s="40" t="s">
        <v>19</v>
      </c>
      <c r="N1" s="41"/>
      <c r="O1" s="42"/>
      <c r="P1" s="40" t="s">
        <v>20</v>
      </c>
      <c r="Q1" s="41"/>
      <c r="R1" s="35">
        <v>1</v>
      </c>
      <c r="S1" s="248"/>
      <c r="T1" s="1"/>
    </row>
    <row r="2" spans="1:24" ht="17">
      <c r="A2" s="35">
        <f>+A1+1</f>
        <v>2</v>
      </c>
      <c r="B2" s="43"/>
      <c r="C2" s="44"/>
      <c r="D2" s="604" t="s">
        <v>96</v>
      </c>
      <c r="E2" s="605"/>
      <c r="F2" s="39"/>
      <c r="G2" s="45" t="s">
        <v>21</v>
      </c>
      <c r="H2" s="46"/>
      <c r="I2" s="39"/>
      <c r="J2" s="47" t="s">
        <v>22</v>
      </c>
      <c r="K2" s="47"/>
      <c r="L2" s="39"/>
      <c r="M2" s="48" t="s">
        <v>23</v>
      </c>
      <c r="N2" s="49"/>
      <c r="O2" s="42"/>
      <c r="P2" s="50" t="s">
        <v>24</v>
      </c>
      <c r="Q2" s="603"/>
      <c r="R2" s="35">
        <f>+R1+1</f>
        <v>2</v>
      </c>
      <c r="S2" s="1"/>
      <c r="T2" s="1"/>
    </row>
    <row r="3" spans="1:24" ht="18" thickBot="1">
      <c r="A3" s="35">
        <f t="shared" ref="A3:A66" si="0">+A2+1</f>
        <v>3</v>
      </c>
      <c r="B3" s="51"/>
      <c r="C3" s="52"/>
      <c r="D3" s="53" t="s">
        <v>187</v>
      </c>
      <c r="E3" s="54"/>
      <c r="F3" s="55"/>
      <c r="G3" s="56" t="s">
        <v>188</v>
      </c>
      <c r="H3" s="54"/>
      <c r="I3" s="57"/>
      <c r="J3" s="56" t="s">
        <v>189</v>
      </c>
      <c r="K3" s="54"/>
      <c r="L3" s="57"/>
      <c r="M3" s="53" t="s">
        <v>190</v>
      </c>
      <c r="N3" s="58"/>
      <c r="P3" s="50" t="s">
        <v>97</v>
      </c>
      <c r="Q3" s="602"/>
      <c r="R3" s="35">
        <f t="shared" ref="R3:R66" si="1">+R2+1</f>
        <v>3</v>
      </c>
    </row>
    <row r="4" spans="1:24" s="70" customFormat="1" ht="13" thickBot="1">
      <c r="A4" s="35">
        <f t="shared" si="0"/>
        <v>4</v>
      </c>
      <c r="B4" s="560" t="s">
        <v>25</v>
      </c>
      <c r="C4" s="60"/>
      <c r="D4" s="61"/>
      <c r="E4" s="61" t="s">
        <v>26</v>
      </c>
      <c r="F4" s="62"/>
      <c r="G4" s="63"/>
      <c r="H4" s="63"/>
      <c r="I4" s="64"/>
      <c r="J4" s="65"/>
      <c r="K4" s="65"/>
      <c r="L4" s="64"/>
      <c r="M4" s="66"/>
      <c r="N4" s="66"/>
      <c r="O4" s="62"/>
      <c r="P4" s="67"/>
      <c r="Q4" s="68"/>
      <c r="R4" s="35">
        <f t="shared" si="1"/>
        <v>4</v>
      </c>
      <c r="S4" s="69"/>
    </row>
    <row r="5" spans="1:24" s="70" customFormat="1" ht="12">
      <c r="A5" s="35">
        <f t="shared" si="0"/>
        <v>5</v>
      </c>
      <c r="B5" s="71" t="s">
        <v>27</v>
      </c>
      <c r="C5" s="52"/>
      <c r="D5" s="61"/>
      <c r="E5" s="586">
        <v>50000</v>
      </c>
      <c r="F5" s="72"/>
      <c r="G5" s="73"/>
      <c r="H5" s="586">
        <f>77950+450</f>
        <v>78400</v>
      </c>
      <c r="I5" s="74"/>
      <c r="J5" s="75"/>
      <c r="K5" s="586">
        <f>-78400+76500</f>
        <v>-1900</v>
      </c>
      <c r="L5" s="76"/>
      <c r="M5" s="77"/>
      <c r="N5" s="586">
        <f>+H5+K5</f>
        <v>76500</v>
      </c>
      <c r="O5" s="72"/>
      <c r="P5" s="78"/>
      <c r="Q5" s="588">
        <f>+N5-E5</f>
        <v>26500</v>
      </c>
      <c r="R5" s="35">
        <f t="shared" si="1"/>
        <v>5</v>
      </c>
      <c r="S5" s="561"/>
    </row>
    <row r="6" spans="1:24" s="70" customFormat="1" ht="12">
      <c r="A6" s="35">
        <f t="shared" si="0"/>
        <v>6</v>
      </c>
      <c r="B6" s="79"/>
      <c r="C6" s="52"/>
      <c r="D6" s="61"/>
      <c r="E6" s="61"/>
      <c r="F6" s="62"/>
      <c r="G6" s="63"/>
      <c r="H6" s="63"/>
      <c r="I6" s="80"/>
      <c r="J6" s="65"/>
      <c r="K6" s="65"/>
      <c r="L6" s="64"/>
      <c r="M6" s="66"/>
      <c r="N6" s="66"/>
      <c r="O6" s="62"/>
      <c r="P6" s="67"/>
      <c r="Q6" s="68"/>
      <c r="R6" s="35">
        <f t="shared" si="1"/>
        <v>6</v>
      </c>
      <c r="S6" s="69"/>
    </row>
    <row r="7" spans="1:24" s="70" customFormat="1" ht="12">
      <c r="A7" s="35">
        <f t="shared" si="0"/>
        <v>7</v>
      </c>
      <c r="B7" s="79" t="s">
        <v>3</v>
      </c>
      <c r="C7" s="52"/>
      <c r="D7" s="61"/>
      <c r="E7" s="587">
        <f>SUM(D8:D13)</f>
        <v>51425</v>
      </c>
      <c r="F7" s="81"/>
      <c r="G7" s="562"/>
      <c r="H7" s="587">
        <f>SUM(G8:H15)</f>
        <v>35519</v>
      </c>
      <c r="I7" s="82"/>
      <c r="J7" s="83"/>
      <c r="K7" s="587">
        <f>SUM(J8:J13)</f>
        <v>36475</v>
      </c>
      <c r="L7" s="84"/>
      <c r="M7" s="85"/>
      <c r="N7" s="587">
        <f>SUM(M8:M16)</f>
        <v>71994</v>
      </c>
      <c r="O7" s="62"/>
      <c r="P7" s="67"/>
      <c r="Q7" s="589">
        <f>SUM(P8:P16)</f>
        <v>20569</v>
      </c>
      <c r="R7" s="35">
        <f t="shared" si="1"/>
        <v>7</v>
      </c>
      <c r="S7" s="69"/>
      <c r="V7" s="179"/>
      <c r="W7" s="179"/>
      <c r="X7" s="179"/>
    </row>
    <row r="8" spans="1:24" s="70" customFormat="1" ht="12">
      <c r="A8" s="35">
        <f t="shared" si="0"/>
        <v>8</v>
      </c>
      <c r="B8" s="86"/>
      <c r="C8" s="52" t="s">
        <v>28</v>
      </c>
      <c r="D8" s="61">
        <v>15000</v>
      </c>
      <c r="E8" s="61"/>
      <c r="F8" s="62"/>
      <c r="G8" s="63">
        <v>15000</v>
      </c>
      <c r="H8" s="63"/>
      <c r="I8" s="80"/>
      <c r="J8" s="65"/>
      <c r="K8" s="65"/>
      <c r="L8" s="64"/>
      <c r="M8" s="66">
        <f t="shared" ref="M8:M14" si="2">+G8+J8</f>
        <v>15000</v>
      </c>
      <c r="N8" s="66"/>
      <c r="O8" s="62"/>
      <c r="P8" s="87">
        <f t="shared" ref="P8:P15" si="3">+M8-D8</f>
        <v>0</v>
      </c>
      <c r="Q8" s="68"/>
      <c r="R8" s="35">
        <f t="shared" si="1"/>
        <v>8</v>
      </c>
      <c r="S8" s="69"/>
      <c r="V8" s="179"/>
      <c r="W8" s="179"/>
      <c r="X8" s="179"/>
    </row>
    <row r="9" spans="1:24" s="70" customFormat="1" ht="12">
      <c r="A9" s="35">
        <f t="shared" si="0"/>
        <v>9</v>
      </c>
      <c r="B9" s="86"/>
      <c r="C9" s="88" t="s">
        <v>103</v>
      </c>
      <c r="D9" s="61">
        <v>0</v>
      </c>
      <c r="E9" s="61"/>
      <c r="F9" s="62"/>
      <c r="G9" s="63"/>
      <c r="H9" s="63"/>
      <c r="I9" s="80"/>
      <c r="J9" s="65"/>
      <c r="K9" s="65"/>
      <c r="L9" s="64"/>
      <c r="M9" s="66">
        <f t="shared" si="2"/>
        <v>0</v>
      </c>
      <c r="N9" s="66"/>
      <c r="O9" s="62"/>
      <c r="P9" s="87">
        <f t="shared" si="3"/>
        <v>0</v>
      </c>
      <c r="Q9" s="68"/>
      <c r="R9" s="35">
        <f t="shared" si="1"/>
        <v>9</v>
      </c>
      <c r="S9" s="69"/>
      <c r="V9" s="179"/>
      <c r="W9" s="179"/>
      <c r="X9" s="179"/>
    </row>
    <row r="10" spans="1:24" s="70" customFormat="1" ht="12">
      <c r="A10" s="35">
        <f t="shared" si="0"/>
        <v>10</v>
      </c>
      <c r="B10" s="86"/>
      <c r="C10" s="252" t="s">
        <v>158</v>
      </c>
      <c r="D10" s="61">
        <v>36425</v>
      </c>
      <c r="E10" s="61"/>
      <c r="F10" s="62"/>
      <c r="G10" s="63"/>
      <c r="H10" s="261"/>
      <c r="I10" s="80"/>
      <c r="J10" s="65">
        <v>36425</v>
      </c>
      <c r="K10" s="65"/>
      <c r="L10" s="64"/>
      <c r="M10" s="66">
        <f t="shared" si="2"/>
        <v>36425</v>
      </c>
      <c r="N10" s="66"/>
      <c r="O10" s="62"/>
      <c r="P10" s="87">
        <f t="shared" si="3"/>
        <v>0</v>
      </c>
      <c r="Q10" s="68"/>
      <c r="R10" s="35">
        <f t="shared" si="1"/>
        <v>10</v>
      </c>
      <c r="S10" s="69" t="s">
        <v>191</v>
      </c>
      <c r="V10" s="179"/>
      <c r="W10" s="179"/>
      <c r="X10" s="179"/>
    </row>
    <row r="11" spans="1:24" s="70" customFormat="1" ht="12">
      <c r="A11" s="35">
        <f t="shared" si="0"/>
        <v>11</v>
      </c>
      <c r="B11" s="86"/>
      <c r="C11" s="221" t="s">
        <v>192</v>
      </c>
      <c r="D11" s="61"/>
      <c r="E11" s="61"/>
      <c r="F11" s="62"/>
      <c r="G11" s="63">
        <v>9933</v>
      </c>
      <c r="H11" s="63"/>
      <c r="I11" s="80"/>
      <c r="J11" s="65"/>
      <c r="K11" s="65"/>
      <c r="L11" s="64"/>
      <c r="M11" s="66">
        <f t="shared" si="2"/>
        <v>9933</v>
      </c>
      <c r="N11" s="66"/>
      <c r="O11" s="62"/>
      <c r="P11" s="87">
        <f t="shared" si="3"/>
        <v>9933</v>
      </c>
      <c r="Q11" s="68"/>
      <c r="R11" s="35">
        <f t="shared" si="1"/>
        <v>11</v>
      </c>
      <c r="S11" s="69"/>
      <c r="V11" s="179"/>
      <c r="W11" s="179"/>
      <c r="X11" s="179"/>
    </row>
    <row r="12" spans="1:24" s="70" customFormat="1" ht="12">
      <c r="A12" s="35">
        <f t="shared" si="0"/>
        <v>12</v>
      </c>
      <c r="B12" s="86"/>
      <c r="C12" s="88" t="s">
        <v>193</v>
      </c>
      <c r="D12" s="61"/>
      <c r="E12" s="61"/>
      <c r="F12" s="62"/>
      <c r="G12" s="63">
        <f>1152+1941</f>
        <v>3093</v>
      </c>
      <c r="H12" s="63"/>
      <c r="I12" s="80"/>
      <c r="J12" s="65">
        <v>50</v>
      </c>
      <c r="K12" s="65"/>
      <c r="L12" s="64"/>
      <c r="M12" s="66">
        <f t="shared" si="2"/>
        <v>3143</v>
      </c>
      <c r="N12" s="66"/>
      <c r="O12" s="62"/>
      <c r="P12" s="87">
        <f t="shared" si="3"/>
        <v>3143</v>
      </c>
      <c r="Q12" s="68"/>
      <c r="R12" s="35">
        <f t="shared" si="1"/>
        <v>12</v>
      </c>
      <c r="S12" s="69"/>
      <c r="V12" s="179"/>
      <c r="W12" s="179"/>
      <c r="X12" s="179"/>
    </row>
    <row r="13" spans="1:24" s="70" customFormat="1" ht="12">
      <c r="A13" s="35">
        <f t="shared" si="0"/>
        <v>13</v>
      </c>
      <c r="B13" s="86"/>
      <c r="C13" s="69" t="s">
        <v>194</v>
      </c>
      <c r="D13" s="61"/>
      <c r="E13" s="61"/>
      <c r="F13" s="62"/>
      <c r="G13" s="63">
        <f>5000+1658</f>
        <v>6658</v>
      </c>
      <c r="H13" s="63"/>
      <c r="I13" s="80"/>
      <c r="J13" s="563"/>
      <c r="K13" s="65"/>
      <c r="L13" s="64"/>
      <c r="M13" s="66">
        <f t="shared" si="2"/>
        <v>6658</v>
      </c>
      <c r="N13" s="66"/>
      <c r="O13" s="62"/>
      <c r="P13" s="87">
        <f t="shared" si="3"/>
        <v>6658</v>
      </c>
      <c r="Q13" s="68"/>
      <c r="R13" s="35">
        <f t="shared" si="1"/>
        <v>13</v>
      </c>
      <c r="S13" s="69"/>
      <c r="V13" s="179"/>
      <c r="W13" s="179"/>
      <c r="X13" s="179"/>
    </row>
    <row r="14" spans="1:24" s="70" customFormat="1" ht="12">
      <c r="A14" s="35">
        <f t="shared" si="0"/>
        <v>14</v>
      </c>
      <c r="B14" s="86"/>
      <c r="C14" s="69" t="s">
        <v>195</v>
      </c>
      <c r="D14" s="61"/>
      <c r="E14" s="61"/>
      <c r="F14" s="62"/>
      <c r="G14" s="63">
        <v>835</v>
      </c>
      <c r="H14" s="63"/>
      <c r="I14" s="80"/>
      <c r="J14" s="563"/>
      <c r="K14" s="65"/>
      <c r="L14" s="64"/>
      <c r="M14" s="66">
        <f t="shared" si="2"/>
        <v>835</v>
      </c>
      <c r="N14" s="66"/>
      <c r="O14" s="62"/>
      <c r="P14" s="87">
        <f t="shared" si="3"/>
        <v>835</v>
      </c>
      <c r="Q14" s="68"/>
      <c r="R14" s="35">
        <f t="shared" si="1"/>
        <v>14</v>
      </c>
      <c r="S14" s="69"/>
      <c r="V14" s="179"/>
      <c r="W14" s="179"/>
      <c r="X14" s="179"/>
    </row>
    <row r="15" spans="1:24" s="70" customFormat="1" ht="12">
      <c r="A15" s="35">
        <f t="shared" si="0"/>
        <v>15</v>
      </c>
      <c r="B15" s="86"/>
      <c r="C15" s="69" t="s">
        <v>196</v>
      </c>
      <c r="D15" s="61"/>
      <c r="E15" s="61"/>
      <c r="F15" s="62"/>
      <c r="G15" s="63"/>
      <c r="H15" s="63"/>
      <c r="I15" s="80"/>
      <c r="J15" s="563"/>
      <c r="K15" s="65"/>
      <c r="L15" s="64"/>
      <c r="M15" s="66">
        <f>+G15+J15+H15</f>
        <v>0</v>
      </c>
      <c r="N15" s="66"/>
      <c r="O15" s="62"/>
      <c r="P15" s="87">
        <f t="shared" si="3"/>
        <v>0</v>
      </c>
      <c r="Q15" s="68"/>
      <c r="R15" s="35">
        <f t="shared" si="1"/>
        <v>15</v>
      </c>
      <c r="S15" s="561"/>
      <c r="V15" s="179"/>
      <c r="W15" s="179"/>
      <c r="X15" s="179"/>
    </row>
    <row r="16" spans="1:24" s="70" customFormat="1" ht="12">
      <c r="A16" s="35">
        <f t="shared" si="0"/>
        <v>16</v>
      </c>
      <c r="B16" s="86"/>
      <c r="C16" s="52"/>
      <c r="D16" s="61"/>
      <c r="E16" s="61"/>
      <c r="F16" s="62"/>
      <c r="G16" s="261"/>
      <c r="H16" s="63"/>
      <c r="I16" s="80"/>
      <c r="J16" s="65"/>
      <c r="K16" s="65"/>
      <c r="L16" s="64"/>
      <c r="M16" s="66"/>
      <c r="N16" s="66"/>
      <c r="O16" s="62"/>
      <c r="P16" s="67"/>
      <c r="Q16" s="68"/>
      <c r="R16" s="35">
        <f t="shared" si="1"/>
        <v>16</v>
      </c>
      <c r="S16" s="69"/>
      <c r="V16" s="179"/>
      <c r="W16" s="179"/>
      <c r="X16" s="179"/>
    </row>
    <row r="17" spans="1:24" s="70" customFormat="1" ht="12">
      <c r="A17" s="35">
        <f t="shared" si="0"/>
        <v>17</v>
      </c>
      <c r="B17" s="89" t="s">
        <v>30</v>
      </c>
      <c r="C17" s="52"/>
      <c r="D17" s="61"/>
      <c r="E17" s="585">
        <f>SUM(D18:D29)</f>
        <v>116068</v>
      </c>
      <c r="F17" s="62"/>
      <c r="G17" s="63"/>
      <c r="H17" s="585">
        <f>SUM(G18:H28)</f>
        <v>151993</v>
      </c>
      <c r="I17" s="80"/>
      <c r="J17" s="65"/>
      <c r="K17" s="585">
        <f>SUM(J18:J29)</f>
        <v>0</v>
      </c>
      <c r="L17" s="64"/>
      <c r="M17" s="66"/>
      <c r="N17" s="585">
        <f>SUM(M18:M29)</f>
        <v>151993</v>
      </c>
      <c r="O17" s="62"/>
      <c r="P17" s="67"/>
      <c r="Q17" s="585">
        <f>SUM(P18:P29)</f>
        <v>35925</v>
      </c>
      <c r="R17" s="35">
        <f t="shared" si="1"/>
        <v>17</v>
      </c>
      <c r="S17" s="69"/>
      <c r="V17" s="179"/>
      <c r="W17" s="179"/>
      <c r="X17" s="179"/>
    </row>
    <row r="18" spans="1:24" s="70" customFormat="1" ht="12">
      <c r="A18" s="35">
        <f t="shared" si="0"/>
        <v>18</v>
      </c>
      <c r="B18" s="90"/>
      <c r="C18" s="91" t="s">
        <v>31</v>
      </c>
      <c r="D18" s="61">
        <v>75000</v>
      </c>
      <c r="E18" s="61"/>
      <c r="F18" s="62"/>
      <c r="G18" s="261">
        <f>101800+1065</f>
        <v>102865</v>
      </c>
      <c r="H18" s="63"/>
      <c r="I18" s="80"/>
      <c r="J18" s="65"/>
      <c r="K18" s="65"/>
      <c r="L18" s="80"/>
      <c r="M18" s="66">
        <f>+G18+J18</f>
        <v>102865</v>
      </c>
      <c r="N18" s="66"/>
      <c r="O18" s="92"/>
      <c r="P18" s="87">
        <f>+M18-D18</f>
        <v>27865</v>
      </c>
      <c r="Q18" s="68"/>
      <c r="R18" s="35">
        <f t="shared" si="1"/>
        <v>18</v>
      </c>
      <c r="S18" s="69"/>
      <c r="V18" s="179"/>
      <c r="W18" s="179"/>
      <c r="X18" s="179"/>
    </row>
    <row r="19" spans="1:24" s="70" customFormat="1" ht="12">
      <c r="A19" s="35">
        <f t="shared" si="0"/>
        <v>19</v>
      </c>
      <c r="B19" s="93"/>
      <c r="C19" s="221" t="s">
        <v>9</v>
      </c>
      <c r="D19" s="61">
        <v>0</v>
      </c>
      <c r="E19" s="61"/>
      <c r="F19" s="62"/>
      <c r="G19" s="261">
        <f>2000-2000</f>
        <v>0</v>
      </c>
      <c r="H19" s="63"/>
      <c r="I19" s="80"/>
      <c r="J19" s="65"/>
      <c r="K19" s="65"/>
      <c r="L19" s="80"/>
      <c r="M19" s="66">
        <f>+G19+J19+H19</f>
        <v>0</v>
      </c>
      <c r="N19" s="66"/>
      <c r="O19" s="92"/>
      <c r="P19" s="87">
        <f t="shared" ref="P19:P28" si="4">+M19-D19</f>
        <v>0</v>
      </c>
      <c r="Q19" s="68"/>
      <c r="R19" s="35">
        <f t="shared" si="1"/>
        <v>19</v>
      </c>
      <c r="S19" s="69"/>
      <c r="V19" s="179"/>
      <c r="W19" s="179"/>
      <c r="X19" s="179"/>
    </row>
    <row r="20" spans="1:24" s="70" customFormat="1" ht="12">
      <c r="A20" s="35">
        <f t="shared" si="0"/>
        <v>20</v>
      </c>
      <c r="B20" s="93"/>
      <c r="C20" s="101" t="s">
        <v>33</v>
      </c>
      <c r="D20" s="61">
        <v>20000</v>
      </c>
      <c r="E20" s="61"/>
      <c r="F20" s="62"/>
      <c r="G20" s="63">
        <v>20000</v>
      </c>
      <c r="H20" s="63"/>
      <c r="I20" s="80"/>
      <c r="J20" s="65"/>
      <c r="K20" s="65"/>
      <c r="L20" s="80"/>
      <c r="M20" s="66">
        <f t="shared" ref="M20:M27" si="5">+G20+J20</f>
        <v>20000</v>
      </c>
      <c r="N20" s="66"/>
      <c r="O20" s="92"/>
      <c r="P20" s="87">
        <f t="shared" si="4"/>
        <v>0</v>
      </c>
      <c r="Q20" s="68"/>
      <c r="R20" s="35">
        <f t="shared" si="1"/>
        <v>20</v>
      </c>
      <c r="S20" s="69"/>
    </row>
    <row r="21" spans="1:24" s="70" customFormat="1" ht="12">
      <c r="A21" s="35">
        <f t="shared" si="0"/>
        <v>21</v>
      </c>
      <c r="B21" s="93"/>
      <c r="C21" s="101" t="s">
        <v>34</v>
      </c>
      <c r="D21" s="94">
        <v>0</v>
      </c>
      <c r="E21" s="61"/>
      <c r="F21" s="62"/>
      <c r="G21" s="63"/>
      <c r="H21" s="63"/>
      <c r="I21" s="80"/>
      <c r="J21" s="65"/>
      <c r="K21" s="65"/>
      <c r="L21" s="80"/>
      <c r="M21" s="66">
        <f t="shared" si="5"/>
        <v>0</v>
      </c>
      <c r="N21" s="66"/>
      <c r="O21" s="92"/>
      <c r="P21" s="87">
        <f t="shared" si="4"/>
        <v>0</v>
      </c>
      <c r="Q21" s="68"/>
      <c r="R21" s="35">
        <f t="shared" si="1"/>
        <v>21</v>
      </c>
      <c r="S21" s="561"/>
    </row>
    <row r="22" spans="1:24" s="70" customFormat="1" ht="12">
      <c r="A22" s="35">
        <f t="shared" si="0"/>
        <v>22</v>
      </c>
      <c r="B22" s="93"/>
      <c r="C22" s="101" t="s">
        <v>10</v>
      </c>
      <c r="D22" s="61">
        <v>9068</v>
      </c>
      <c r="E22" s="61"/>
      <c r="F22" s="62"/>
      <c r="G22" s="63">
        <f>9066+2</f>
        <v>9068</v>
      </c>
      <c r="H22" s="63"/>
      <c r="I22" s="80"/>
      <c r="J22" s="238"/>
      <c r="K22" s="65"/>
      <c r="L22" s="80"/>
      <c r="M22" s="66">
        <f t="shared" si="5"/>
        <v>9068</v>
      </c>
      <c r="N22" s="66"/>
      <c r="O22" s="92"/>
      <c r="P22" s="87">
        <f t="shared" si="4"/>
        <v>0</v>
      </c>
      <c r="Q22" s="68"/>
      <c r="R22" s="35">
        <f t="shared" si="1"/>
        <v>22</v>
      </c>
      <c r="S22" s="69"/>
    </row>
    <row r="23" spans="1:24" s="70" customFormat="1" ht="12">
      <c r="A23" s="35">
        <f t="shared" si="0"/>
        <v>23</v>
      </c>
      <c r="B23" s="93" t="s">
        <v>35</v>
      </c>
      <c r="C23" s="101" t="s">
        <v>36</v>
      </c>
      <c r="D23" s="61">
        <v>0</v>
      </c>
      <c r="E23" s="61"/>
      <c r="F23" s="62"/>
      <c r="G23" s="63"/>
      <c r="H23" s="63"/>
      <c r="I23" s="80"/>
      <c r="J23" s="238"/>
      <c r="K23" s="65"/>
      <c r="L23" s="80"/>
      <c r="M23" s="66">
        <f t="shared" si="5"/>
        <v>0</v>
      </c>
      <c r="N23" s="66"/>
      <c r="O23" s="92"/>
      <c r="P23" s="87">
        <f t="shared" si="4"/>
        <v>0</v>
      </c>
      <c r="Q23" s="68"/>
      <c r="R23" s="35">
        <f t="shared" si="1"/>
        <v>23</v>
      </c>
      <c r="S23" s="69"/>
    </row>
    <row r="24" spans="1:24" s="70" customFormat="1" ht="12">
      <c r="A24" s="35">
        <f t="shared" si="0"/>
        <v>24</v>
      </c>
      <c r="B24" s="93"/>
      <c r="C24" s="221" t="s">
        <v>38</v>
      </c>
      <c r="D24" s="61">
        <v>6500</v>
      </c>
      <c r="E24" s="95"/>
      <c r="F24" s="62"/>
      <c r="G24" s="261">
        <f>5000+2000</f>
        <v>7000</v>
      </c>
      <c r="H24" s="96"/>
      <c r="I24" s="80"/>
      <c r="J24" s="65"/>
      <c r="K24" s="97"/>
      <c r="L24" s="80"/>
      <c r="M24" s="66">
        <f>+G24+J24+H24</f>
        <v>7000</v>
      </c>
      <c r="N24" s="98"/>
      <c r="O24" s="92"/>
      <c r="P24" s="87">
        <f t="shared" si="4"/>
        <v>500</v>
      </c>
      <c r="Q24" s="99"/>
      <c r="R24" s="35">
        <f t="shared" si="1"/>
        <v>24</v>
      </c>
      <c r="S24" s="561"/>
    </row>
    <row r="25" spans="1:24" s="70" customFormat="1" ht="12">
      <c r="A25" s="35">
        <f t="shared" si="0"/>
        <v>25</v>
      </c>
      <c r="B25" s="93"/>
      <c r="C25" s="239" t="s">
        <v>39</v>
      </c>
      <c r="D25" s="61">
        <v>0</v>
      </c>
      <c r="E25" s="95"/>
      <c r="F25" s="62"/>
      <c r="G25" s="63">
        <v>10000</v>
      </c>
      <c r="H25" s="96"/>
      <c r="I25" s="80"/>
      <c r="J25" s="238"/>
      <c r="K25" s="97"/>
      <c r="L25" s="80"/>
      <c r="M25" s="66">
        <f t="shared" si="5"/>
        <v>10000</v>
      </c>
      <c r="N25" s="98"/>
      <c r="O25" s="92"/>
      <c r="P25" s="87">
        <f t="shared" si="4"/>
        <v>10000</v>
      </c>
      <c r="Q25" s="99"/>
      <c r="R25" s="35">
        <f t="shared" si="1"/>
        <v>25</v>
      </c>
      <c r="S25" s="69"/>
    </row>
    <row r="26" spans="1:24" s="70" customFormat="1" ht="12">
      <c r="A26" s="35">
        <f t="shared" si="0"/>
        <v>26</v>
      </c>
      <c r="B26" s="93"/>
      <c r="C26" s="221" t="s">
        <v>40</v>
      </c>
      <c r="D26" s="61">
        <v>3000</v>
      </c>
      <c r="E26" s="95"/>
      <c r="F26" s="62"/>
      <c r="G26" s="63"/>
      <c r="H26" s="96"/>
      <c r="I26" s="80"/>
      <c r="J26" s="65"/>
      <c r="K26" s="97"/>
      <c r="L26" s="80"/>
      <c r="M26" s="66">
        <f t="shared" si="5"/>
        <v>0</v>
      </c>
      <c r="N26" s="98"/>
      <c r="O26" s="92"/>
      <c r="P26" s="87">
        <f t="shared" si="4"/>
        <v>-3000</v>
      </c>
      <c r="Q26" s="99"/>
      <c r="R26" s="35">
        <f t="shared" si="1"/>
        <v>26</v>
      </c>
      <c r="S26" s="561"/>
    </row>
    <row r="27" spans="1:24" s="70" customFormat="1" ht="12">
      <c r="A27" s="35">
        <f t="shared" si="0"/>
        <v>27</v>
      </c>
      <c r="B27" s="93"/>
      <c r="C27" s="88" t="s">
        <v>11</v>
      </c>
      <c r="D27" s="61">
        <v>2500</v>
      </c>
      <c r="E27" s="95"/>
      <c r="F27" s="62"/>
      <c r="G27" s="63"/>
      <c r="H27" s="96"/>
      <c r="I27" s="80"/>
      <c r="J27" s="65"/>
      <c r="K27" s="97"/>
      <c r="L27" s="80"/>
      <c r="M27" s="66">
        <f t="shared" si="5"/>
        <v>0</v>
      </c>
      <c r="N27" s="98"/>
      <c r="O27" s="92"/>
      <c r="P27" s="87">
        <f t="shared" si="4"/>
        <v>-2500</v>
      </c>
      <c r="Q27" s="99"/>
      <c r="R27" s="35">
        <f t="shared" si="1"/>
        <v>27</v>
      </c>
      <c r="S27" s="69"/>
    </row>
    <row r="28" spans="1:24" s="70" customFormat="1" ht="12">
      <c r="A28" s="35">
        <f t="shared" si="0"/>
        <v>28</v>
      </c>
      <c r="B28" s="93"/>
      <c r="C28" s="101" t="s">
        <v>41</v>
      </c>
      <c r="D28" s="61">
        <v>0</v>
      </c>
      <c r="E28" s="95"/>
      <c r="F28" s="62"/>
      <c r="G28" s="261">
        <f>13+47+3000</f>
        <v>3060</v>
      </c>
      <c r="H28" s="96"/>
      <c r="I28" s="80"/>
      <c r="J28" s="65"/>
      <c r="K28" s="97"/>
      <c r="L28" s="80"/>
      <c r="M28" s="66">
        <f>+G28+J28+H28</f>
        <v>3060</v>
      </c>
      <c r="N28" s="98"/>
      <c r="O28" s="92"/>
      <c r="P28" s="87">
        <f t="shared" si="4"/>
        <v>3060</v>
      </c>
      <c r="Q28" s="99"/>
      <c r="R28" s="35">
        <f t="shared" si="1"/>
        <v>28</v>
      </c>
      <c r="S28" s="561"/>
    </row>
    <row r="29" spans="1:24" s="70" customFormat="1" ht="12">
      <c r="A29" s="35">
        <f t="shared" si="0"/>
        <v>29</v>
      </c>
      <c r="B29" s="93"/>
      <c r="C29" s="221" t="s">
        <v>110</v>
      </c>
      <c r="D29" s="102">
        <v>0</v>
      </c>
      <c r="E29" s="95"/>
      <c r="F29" s="62"/>
      <c r="G29" s="103"/>
      <c r="H29" s="96"/>
      <c r="I29" s="80"/>
      <c r="J29" s="240"/>
      <c r="K29" s="97"/>
      <c r="L29" s="64"/>
      <c r="M29" s="105"/>
      <c r="N29" s="98"/>
      <c r="O29" s="62"/>
      <c r="P29" s="106"/>
      <c r="Q29" s="99"/>
      <c r="R29" s="35">
        <f t="shared" si="1"/>
        <v>29</v>
      </c>
      <c r="S29" s="69"/>
    </row>
    <row r="30" spans="1:24" s="70" customFormat="1" ht="12">
      <c r="A30" s="35">
        <f t="shared" si="0"/>
        <v>30</v>
      </c>
      <c r="B30" s="93"/>
      <c r="C30" s="239"/>
      <c r="D30" s="102"/>
      <c r="E30" s="95"/>
      <c r="F30" s="62"/>
      <c r="G30" s="103"/>
      <c r="H30" s="96"/>
      <c r="I30" s="80"/>
      <c r="J30" s="240"/>
      <c r="K30" s="97"/>
      <c r="L30" s="64"/>
      <c r="M30" s="105"/>
      <c r="N30" s="98"/>
      <c r="O30" s="62"/>
      <c r="P30" s="106"/>
      <c r="Q30" s="99"/>
      <c r="R30" s="35">
        <f t="shared" si="1"/>
        <v>30</v>
      </c>
      <c r="S30" s="69"/>
    </row>
    <row r="31" spans="1:24" s="70" customFormat="1" ht="12">
      <c r="A31" s="35">
        <f t="shared" si="0"/>
        <v>31</v>
      </c>
      <c r="B31" s="107" t="s">
        <v>42</v>
      </c>
      <c r="C31" s="108"/>
      <c r="D31" s="109"/>
      <c r="E31" s="110">
        <f>SUM(E5:E28)</f>
        <v>217493</v>
      </c>
      <c r="F31" s="62"/>
      <c r="G31" s="109"/>
      <c r="H31" s="110">
        <f>+H5+H7+H17</f>
        <v>265912</v>
      </c>
      <c r="I31" s="111"/>
      <c r="J31" s="109"/>
      <c r="K31" s="585">
        <f>SUM(K5:K28)</f>
        <v>34575</v>
      </c>
      <c r="L31" s="111"/>
      <c r="M31" s="109"/>
      <c r="N31" s="110">
        <f>SUM(N5:N28)</f>
        <v>300487</v>
      </c>
      <c r="O31" s="62"/>
      <c r="P31" s="109"/>
      <c r="Q31" s="112">
        <f>SUM(Q5:Q28)</f>
        <v>82994</v>
      </c>
      <c r="R31" s="35">
        <f t="shared" si="1"/>
        <v>31</v>
      </c>
      <c r="S31" s="606">
        <f>+N31-E31</f>
        <v>82994</v>
      </c>
      <c r="T31" s="607">
        <f>+Q31-S31</f>
        <v>0</v>
      </c>
    </row>
    <row r="32" spans="1:24" s="70" customFormat="1" ht="13" thickBot="1">
      <c r="A32" s="35">
        <f t="shared" si="0"/>
        <v>32</v>
      </c>
      <c r="B32" s="93"/>
      <c r="C32" s="241"/>
      <c r="D32" s="61"/>
      <c r="E32" s="114"/>
      <c r="F32" s="62"/>
      <c r="G32" s="63"/>
      <c r="H32" s="115"/>
      <c r="I32" s="64"/>
      <c r="J32" s="65"/>
      <c r="K32" s="116"/>
      <c r="L32" s="64"/>
      <c r="M32" s="66"/>
      <c r="N32" s="117"/>
      <c r="O32" s="62"/>
      <c r="P32" s="67"/>
      <c r="Q32" s="118"/>
      <c r="R32" s="35">
        <f t="shared" si="1"/>
        <v>32</v>
      </c>
      <c r="S32" s="69"/>
    </row>
    <row r="33" spans="1:20" s="70" customFormat="1" ht="13" thickBot="1">
      <c r="A33" s="35">
        <f t="shared" si="0"/>
        <v>33</v>
      </c>
      <c r="B33" s="564" t="s">
        <v>43</v>
      </c>
      <c r="C33" s="60"/>
      <c r="D33" s="61"/>
      <c r="E33" s="61"/>
      <c r="F33" s="62"/>
      <c r="G33" s="63"/>
      <c r="H33" s="63"/>
      <c r="I33" s="64"/>
      <c r="J33" s="65"/>
      <c r="K33" s="65"/>
      <c r="L33" s="64"/>
      <c r="M33" s="66"/>
      <c r="N33" s="66"/>
      <c r="O33" s="62"/>
      <c r="P33" s="67"/>
      <c r="Q33" s="68"/>
      <c r="R33" s="35">
        <f t="shared" si="1"/>
        <v>33</v>
      </c>
      <c r="S33" s="69"/>
    </row>
    <row r="34" spans="1:20" s="70" customFormat="1" ht="12">
      <c r="A34" s="35">
        <f t="shared" si="0"/>
        <v>34</v>
      </c>
      <c r="B34" s="86" t="s">
        <v>44</v>
      </c>
      <c r="C34" s="52"/>
      <c r="D34" s="61"/>
      <c r="E34" s="585">
        <f>SUM(D35:D46)</f>
        <v>52628</v>
      </c>
      <c r="F34" s="62"/>
      <c r="G34" s="63"/>
      <c r="H34" s="585">
        <f>SUM(G35:G48)</f>
        <v>43375</v>
      </c>
      <c r="I34" s="64"/>
      <c r="J34" s="65"/>
      <c r="K34" s="585">
        <f>SUM(J35:J46)</f>
        <v>20000</v>
      </c>
      <c r="L34" s="64"/>
      <c r="M34" s="66"/>
      <c r="N34" s="585">
        <f>SUM(M35:M48)</f>
        <v>63375</v>
      </c>
      <c r="O34" s="62"/>
      <c r="P34" s="67"/>
      <c r="Q34" s="498">
        <f>SUM(P35:P48)</f>
        <v>10747</v>
      </c>
      <c r="R34" s="35">
        <f t="shared" si="1"/>
        <v>34</v>
      </c>
      <c r="S34" s="606">
        <f>+N34-E34</f>
        <v>10747</v>
      </c>
      <c r="T34" s="607">
        <f>+Q34-S34</f>
        <v>0</v>
      </c>
    </row>
    <row r="35" spans="1:20" s="70" customFormat="1" ht="12">
      <c r="A35" s="35">
        <f t="shared" si="0"/>
        <v>35</v>
      </c>
      <c r="B35" s="93"/>
      <c r="C35" s="52" t="s">
        <v>45</v>
      </c>
      <c r="D35" s="119">
        <v>10000</v>
      </c>
      <c r="E35" s="61"/>
      <c r="F35" s="62"/>
      <c r="G35" s="63">
        <v>17925</v>
      </c>
      <c r="H35" s="63"/>
      <c r="I35" s="80"/>
      <c r="J35" s="65">
        <v>6500</v>
      </c>
      <c r="K35" s="65"/>
      <c r="L35" s="80"/>
      <c r="M35" s="66">
        <f t="shared" ref="M35:M44" si="6">+G35+J35</f>
        <v>24425</v>
      </c>
      <c r="N35" s="66"/>
      <c r="O35" s="92"/>
      <c r="P35" s="87">
        <f t="shared" ref="P35:P48" si="7">+M35-D35</f>
        <v>14425</v>
      </c>
      <c r="Q35" s="68"/>
      <c r="R35" s="35">
        <f t="shared" si="1"/>
        <v>35</v>
      </c>
      <c r="S35" s="69" t="s">
        <v>197</v>
      </c>
    </row>
    <row r="36" spans="1:20" s="70" customFormat="1" ht="12">
      <c r="A36" s="35">
        <f t="shared" si="0"/>
        <v>36</v>
      </c>
      <c r="B36" s="93"/>
      <c r="C36" s="221" t="s">
        <v>9</v>
      </c>
      <c r="D36" s="119">
        <v>0</v>
      </c>
      <c r="E36" s="61"/>
      <c r="F36" s="62"/>
      <c r="G36" s="63">
        <v>1169</v>
      </c>
      <c r="H36" s="63"/>
      <c r="I36" s="80"/>
      <c r="J36" s="65"/>
      <c r="K36" s="65"/>
      <c r="L36" s="80"/>
      <c r="M36" s="66">
        <f t="shared" si="6"/>
        <v>1169</v>
      </c>
      <c r="N36" s="66"/>
      <c r="O36" s="92"/>
      <c r="P36" s="87">
        <f t="shared" si="7"/>
        <v>1169</v>
      </c>
      <c r="Q36" s="68"/>
      <c r="R36" s="35">
        <f t="shared" si="1"/>
        <v>36</v>
      </c>
      <c r="S36" s="69"/>
    </row>
    <row r="37" spans="1:20" s="70" customFormat="1" ht="12">
      <c r="A37" s="35">
        <f t="shared" si="0"/>
        <v>37</v>
      </c>
      <c r="B37" s="93"/>
      <c r="C37" s="101" t="s">
        <v>46</v>
      </c>
      <c r="D37" s="119">
        <v>20000</v>
      </c>
      <c r="E37" s="61"/>
      <c r="F37" s="62"/>
      <c r="G37" s="63">
        <v>10000</v>
      </c>
      <c r="H37" s="63"/>
      <c r="I37" s="80"/>
      <c r="J37" s="65">
        <v>10000</v>
      </c>
      <c r="K37" s="65"/>
      <c r="L37" s="80"/>
      <c r="M37" s="66">
        <f t="shared" si="6"/>
        <v>20000</v>
      </c>
      <c r="N37" s="66"/>
      <c r="O37" s="92"/>
      <c r="P37" s="87">
        <f t="shared" si="7"/>
        <v>0</v>
      </c>
      <c r="Q37" s="68"/>
      <c r="R37" s="35">
        <f t="shared" si="1"/>
        <v>37</v>
      </c>
      <c r="S37" s="69"/>
    </row>
    <row r="38" spans="1:20" s="70" customFormat="1" ht="12">
      <c r="A38" s="35">
        <f t="shared" si="0"/>
        <v>38</v>
      </c>
      <c r="B38" s="93"/>
      <c r="C38" s="101" t="s">
        <v>47</v>
      </c>
      <c r="D38" s="119">
        <v>1000</v>
      </c>
      <c r="E38" s="61"/>
      <c r="F38" s="62"/>
      <c r="G38" s="63">
        <v>0</v>
      </c>
      <c r="H38" s="63"/>
      <c r="I38" s="80"/>
      <c r="J38" s="262">
        <v>0</v>
      </c>
      <c r="K38" s="65"/>
      <c r="L38" s="80"/>
      <c r="M38" s="66">
        <f t="shared" si="6"/>
        <v>0</v>
      </c>
      <c r="N38" s="66"/>
      <c r="O38" s="92"/>
      <c r="P38" s="87">
        <f t="shared" si="7"/>
        <v>-1000</v>
      </c>
      <c r="Q38" s="68"/>
      <c r="R38" s="35">
        <f t="shared" si="1"/>
        <v>38</v>
      </c>
      <c r="S38" s="69"/>
    </row>
    <row r="39" spans="1:20" s="70" customFormat="1" ht="12">
      <c r="A39" s="35">
        <f t="shared" si="0"/>
        <v>39</v>
      </c>
      <c r="B39" s="93"/>
      <c r="C39" s="101" t="s">
        <v>10</v>
      </c>
      <c r="D39" s="119">
        <v>10628</v>
      </c>
      <c r="E39" s="61"/>
      <c r="F39" s="62"/>
      <c r="G39" s="63">
        <f>580+10048</f>
        <v>10628</v>
      </c>
      <c r="H39" s="63"/>
      <c r="I39" s="80"/>
      <c r="J39" s="262"/>
      <c r="K39" s="65"/>
      <c r="L39" s="80"/>
      <c r="M39" s="66">
        <f t="shared" si="6"/>
        <v>10628</v>
      </c>
      <c r="N39" s="66"/>
      <c r="O39" s="92"/>
      <c r="P39" s="87">
        <f t="shared" si="7"/>
        <v>0</v>
      </c>
      <c r="Q39" s="68"/>
      <c r="R39" s="35">
        <f t="shared" si="1"/>
        <v>39</v>
      </c>
      <c r="S39" s="69"/>
    </row>
    <row r="40" spans="1:20" s="70" customFormat="1" ht="12">
      <c r="A40" s="35">
        <f t="shared" si="0"/>
        <v>40</v>
      </c>
      <c r="B40" s="93"/>
      <c r="C40" s="101" t="s">
        <v>48</v>
      </c>
      <c r="D40" s="119">
        <v>0</v>
      </c>
      <c r="E40" s="61"/>
      <c r="F40" s="62"/>
      <c r="G40" s="63"/>
      <c r="H40" s="63"/>
      <c r="I40" s="80"/>
      <c r="J40" s="262"/>
      <c r="K40" s="65"/>
      <c r="L40" s="80"/>
      <c r="M40" s="66">
        <f t="shared" si="6"/>
        <v>0</v>
      </c>
      <c r="N40" s="66"/>
      <c r="O40" s="92"/>
      <c r="P40" s="87">
        <f t="shared" si="7"/>
        <v>0</v>
      </c>
      <c r="Q40" s="68"/>
      <c r="R40" s="35">
        <f t="shared" si="1"/>
        <v>40</v>
      </c>
      <c r="S40" s="69"/>
    </row>
    <row r="41" spans="1:20" s="70" customFormat="1" ht="12">
      <c r="A41" s="35">
        <f t="shared" si="0"/>
        <v>41</v>
      </c>
      <c r="B41" s="93"/>
      <c r="C41" s="221" t="s">
        <v>49</v>
      </c>
      <c r="D41" s="119">
        <v>0</v>
      </c>
      <c r="E41" s="61"/>
      <c r="F41" s="62"/>
      <c r="G41" s="63"/>
      <c r="H41" s="63"/>
      <c r="I41" s="80"/>
      <c r="J41" s="262"/>
      <c r="K41" s="65"/>
      <c r="L41" s="80"/>
      <c r="M41" s="66">
        <f t="shared" si="6"/>
        <v>0</v>
      </c>
      <c r="N41" s="66"/>
      <c r="O41" s="92"/>
      <c r="P41" s="87">
        <f t="shared" si="7"/>
        <v>0</v>
      </c>
      <c r="Q41" s="68"/>
      <c r="R41" s="35">
        <f t="shared" si="1"/>
        <v>41</v>
      </c>
      <c r="S41" s="69"/>
    </row>
    <row r="42" spans="1:20" s="70" customFormat="1" ht="12">
      <c r="A42" s="35">
        <f t="shared" si="0"/>
        <v>42</v>
      </c>
      <c r="B42" s="93"/>
      <c r="C42" s="221" t="s">
        <v>50</v>
      </c>
      <c r="D42" s="119">
        <v>0</v>
      </c>
      <c r="E42" s="61"/>
      <c r="F42" s="62"/>
      <c r="G42" s="63"/>
      <c r="H42" s="63"/>
      <c r="I42" s="80"/>
      <c r="J42" s="262"/>
      <c r="K42" s="65"/>
      <c r="L42" s="80"/>
      <c r="M42" s="66">
        <f t="shared" si="6"/>
        <v>0</v>
      </c>
      <c r="N42" s="66"/>
      <c r="O42" s="92"/>
      <c r="P42" s="87">
        <f t="shared" si="7"/>
        <v>0</v>
      </c>
      <c r="Q42" s="68"/>
      <c r="R42" s="35">
        <f t="shared" si="1"/>
        <v>42</v>
      </c>
      <c r="S42" s="69"/>
    </row>
    <row r="43" spans="1:20" s="70" customFormat="1" ht="12">
      <c r="A43" s="35">
        <f t="shared" si="0"/>
        <v>43</v>
      </c>
      <c r="B43" s="93"/>
      <c r="C43" s="221" t="s">
        <v>38</v>
      </c>
      <c r="D43" s="119">
        <v>6000</v>
      </c>
      <c r="E43" s="61"/>
      <c r="F43" s="62"/>
      <c r="G43" s="63">
        <v>353</v>
      </c>
      <c r="H43" s="63"/>
      <c r="I43" s="80"/>
      <c r="J43" s="262">
        <v>3500</v>
      </c>
      <c r="K43" s="65"/>
      <c r="L43" s="80"/>
      <c r="M43" s="66">
        <f t="shared" si="6"/>
        <v>3853</v>
      </c>
      <c r="N43" s="66"/>
      <c r="O43" s="92"/>
      <c r="P43" s="87">
        <f t="shared" si="7"/>
        <v>-2147</v>
      </c>
      <c r="Q43" s="68"/>
      <c r="R43" s="35">
        <f t="shared" si="1"/>
        <v>43</v>
      </c>
      <c r="S43" s="69"/>
    </row>
    <row r="44" spans="1:20" s="70" customFormat="1" ht="12">
      <c r="A44" s="35">
        <f t="shared" si="0"/>
        <v>44</v>
      </c>
      <c r="B44" s="93"/>
      <c r="C44" s="221" t="s">
        <v>51</v>
      </c>
      <c r="D44" s="119">
        <v>2500</v>
      </c>
      <c r="E44" s="61"/>
      <c r="F44" s="62"/>
      <c r="G44" s="63"/>
      <c r="H44" s="63"/>
      <c r="I44" s="80"/>
      <c r="J44" s="262">
        <v>0</v>
      </c>
      <c r="K44" s="65"/>
      <c r="L44" s="80"/>
      <c r="M44" s="66">
        <f t="shared" si="6"/>
        <v>0</v>
      </c>
      <c r="N44" s="66"/>
      <c r="O44" s="92"/>
      <c r="P44" s="87">
        <f t="shared" si="7"/>
        <v>-2500</v>
      </c>
      <c r="Q44" s="68"/>
      <c r="R44" s="35">
        <f t="shared" si="1"/>
        <v>44</v>
      </c>
      <c r="S44" s="561"/>
    </row>
    <row r="45" spans="1:20" s="70" customFormat="1" ht="12">
      <c r="A45" s="35">
        <f t="shared" si="0"/>
        <v>45</v>
      </c>
      <c r="B45" s="93"/>
      <c r="C45" s="88" t="s">
        <v>11</v>
      </c>
      <c r="D45" s="119">
        <v>2500</v>
      </c>
      <c r="E45" s="61"/>
      <c r="F45" s="62"/>
      <c r="G45" s="63"/>
      <c r="H45" s="63"/>
      <c r="I45" s="80"/>
      <c r="J45" s="262">
        <v>0</v>
      </c>
      <c r="K45" s="65"/>
      <c r="L45" s="80"/>
      <c r="M45" s="66">
        <f>+G45+J45</f>
        <v>0</v>
      </c>
      <c r="N45" s="66"/>
      <c r="O45" s="92"/>
      <c r="P45" s="87">
        <f t="shared" si="7"/>
        <v>-2500</v>
      </c>
      <c r="Q45" s="68"/>
      <c r="R45" s="35">
        <f t="shared" si="1"/>
        <v>45</v>
      </c>
      <c r="S45" s="69"/>
    </row>
    <row r="46" spans="1:20" s="70" customFormat="1" ht="12">
      <c r="A46" s="35">
        <f t="shared" si="0"/>
        <v>46</v>
      </c>
      <c r="B46" s="93"/>
      <c r="C46" s="221" t="s">
        <v>110</v>
      </c>
      <c r="D46" s="119"/>
      <c r="E46" s="61"/>
      <c r="F46" s="62"/>
      <c r="G46" s="63"/>
      <c r="H46" s="63"/>
      <c r="I46" s="80"/>
      <c r="J46" s="262"/>
      <c r="K46" s="65"/>
      <c r="L46" s="80"/>
      <c r="M46" s="66">
        <f>+G46+J46</f>
        <v>0</v>
      </c>
      <c r="N46" s="66"/>
      <c r="O46" s="92"/>
      <c r="P46" s="87">
        <f t="shared" si="7"/>
        <v>0</v>
      </c>
      <c r="Q46" s="68"/>
      <c r="R46" s="35">
        <f t="shared" si="1"/>
        <v>46</v>
      </c>
      <c r="S46" s="69"/>
    </row>
    <row r="47" spans="1:20" s="70" customFormat="1" ht="12">
      <c r="A47" s="35">
        <f t="shared" si="0"/>
        <v>47</v>
      </c>
      <c r="B47" s="93"/>
      <c r="C47" s="239" t="s">
        <v>198</v>
      </c>
      <c r="D47" s="119"/>
      <c r="E47" s="61"/>
      <c r="F47" s="62"/>
      <c r="G47" s="63">
        <f>300+500+500</f>
        <v>1300</v>
      </c>
      <c r="H47" s="63"/>
      <c r="I47" s="80"/>
      <c r="J47" s="262"/>
      <c r="K47" s="65"/>
      <c r="L47" s="80"/>
      <c r="M47" s="66">
        <f>+G47+J47</f>
        <v>1300</v>
      </c>
      <c r="N47" s="66"/>
      <c r="O47" s="92"/>
      <c r="P47" s="87">
        <f t="shared" si="7"/>
        <v>1300</v>
      </c>
      <c r="Q47" s="122"/>
      <c r="R47" s="35">
        <f t="shared" si="1"/>
        <v>47</v>
      </c>
      <c r="S47" s="69"/>
    </row>
    <row r="48" spans="1:20" s="70" customFormat="1" ht="12">
      <c r="A48" s="35">
        <f t="shared" si="0"/>
        <v>48</v>
      </c>
      <c r="B48" s="93"/>
      <c r="C48" s="239" t="s">
        <v>199</v>
      </c>
      <c r="D48" s="119"/>
      <c r="E48" s="61"/>
      <c r="F48" s="62"/>
      <c r="G48" s="63">
        <v>2000</v>
      </c>
      <c r="H48" s="63"/>
      <c r="I48" s="80"/>
      <c r="J48" s="262"/>
      <c r="K48" s="65"/>
      <c r="L48" s="80"/>
      <c r="M48" s="66">
        <f>+G48+J48</f>
        <v>2000</v>
      </c>
      <c r="N48" s="66"/>
      <c r="O48" s="92"/>
      <c r="P48" s="87">
        <f t="shared" si="7"/>
        <v>2000</v>
      </c>
      <c r="Q48" s="122"/>
      <c r="R48" s="35">
        <f t="shared" si="1"/>
        <v>48</v>
      </c>
      <c r="S48" s="69"/>
    </row>
    <row r="49" spans="1:20" s="70" customFormat="1" ht="12">
      <c r="A49" s="35">
        <f t="shared" si="0"/>
        <v>49</v>
      </c>
      <c r="B49" s="93" t="s">
        <v>52</v>
      </c>
      <c r="C49" s="101"/>
      <c r="D49" s="119"/>
      <c r="E49" s="585">
        <f>SUM(D50:D52)</f>
        <v>2500</v>
      </c>
      <c r="F49" s="62"/>
      <c r="G49" s="63"/>
      <c r="H49" s="585">
        <f>SUM(G50:G52)</f>
        <v>828</v>
      </c>
      <c r="I49" s="64"/>
      <c r="J49" s="262"/>
      <c r="K49" s="585">
        <f>SUM(J50:J52)</f>
        <v>2700</v>
      </c>
      <c r="L49" s="64"/>
      <c r="M49" s="66"/>
      <c r="N49" s="585">
        <f>SUM(M50:M52)</f>
        <v>3528</v>
      </c>
      <c r="O49" s="62"/>
      <c r="P49" s="67"/>
      <c r="Q49" s="585">
        <f>SUM(P50:P52)</f>
        <v>1028</v>
      </c>
      <c r="R49" s="35">
        <f t="shared" si="1"/>
        <v>49</v>
      </c>
      <c r="S49" s="606">
        <f>+N49-E49</f>
        <v>1028</v>
      </c>
      <c r="T49" s="607">
        <f>+Q49-S49</f>
        <v>0</v>
      </c>
    </row>
    <row r="50" spans="1:20" s="70" customFormat="1" ht="12">
      <c r="A50" s="35">
        <f t="shared" si="0"/>
        <v>50</v>
      </c>
      <c r="B50" s="93"/>
      <c r="C50" s="101" t="s">
        <v>53</v>
      </c>
      <c r="D50" s="119"/>
      <c r="E50" s="61"/>
      <c r="F50" s="62"/>
      <c r="G50" s="63"/>
      <c r="H50" s="63"/>
      <c r="I50" s="80"/>
      <c r="J50" s="262"/>
      <c r="K50" s="65"/>
      <c r="L50" s="80"/>
      <c r="M50" s="66">
        <f>+G50+J50</f>
        <v>0</v>
      </c>
      <c r="N50" s="66"/>
      <c r="O50" s="92"/>
      <c r="P50" s="87">
        <f>+M50-D50</f>
        <v>0</v>
      </c>
      <c r="Q50" s="68"/>
      <c r="R50" s="35">
        <f t="shared" si="1"/>
        <v>50</v>
      </c>
      <c r="S50" s="69"/>
    </row>
    <row r="51" spans="1:20" s="70" customFormat="1" ht="12">
      <c r="A51" s="35">
        <f t="shared" si="0"/>
        <v>51</v>
      </c>
      <c r="B51" s="93"/>
      <c r="C51" s="101" t="s">
        <v>98</v>
      </c>
      <c r="D51" s="119">
        <v>2500</v>
      </c>
      <c r="E51" s="61"/>
      <c r="F51" s="62"/>
      <c r="G51" s="63">
        <f>828</f>
        <v>828</v>
      </c>
      <c r="H51" s="63"/>
      <c r="I51" s="80"/>
      <c r="J51" s="262">
        <v>2700</v>
      </c>
      <c r="K51" s="65"/>
      <c r="L51" s="80"/>
      <c r="M51" s="66">
        <f>+G51+J51</f>
        <v>3528</v>
      </c>
      <c r="N51" s="66"/>
      <c r="O51" s="92"/>
      <c r="P51" s="87">
        <f>+M51-D51</f>
        <v>1028</v>
      </c>
      <c r="Q51" s="68"/>
      <c r="R51" s="35">
        <f t="shared" si="1"/>
        <v>51</v>
      </c>
      <c r="S51" s="69" t="s">
        <v>200</v>
      </c>
    </row>
    <row r="52" spans="1:20" s="70" customFormat="1" ht="12">
      <c r="A52" s="35">
        <f t="shared" si="0"/>
        <v>52</v>
      </c>
      <c r="B52" s="93"/>
      <c r="C52" s="101"/>
      <c r="D52" s="119"/>
      <c r="E52" s="61"/>
      <c r="F52" s="62"/>
      <c r="G52" s="120"/>
      <c r="H52" s="63"/>
      <c r="I52" s="80"/>
      <c r="J52" s="262"/>
      <c r="K52" s="65"/>
      <c r="L52" s="80"/>
      <c r="M52" s="66"/>
      <c r="N52" s="66"/>
      <c r="O52" s="92"/>
      <c r="P52" s="87"/>
      <c r="Q52" s="68"/>
      <c r="R52" s="35">
        <f t="shared" si="1"/>
        <v>52</v>
      </c>
      <c r="S52" s="69"/>
    </row>
    <row r="53" spans="1:20" s="70" customFormat="1" ht="12">
      <c r="A53" s="35">
        <f t="shared" si="0"/>
        <v>53</v>
      </c>
      <c r="B53" s="93"/>
      <c r="C53" s="101"/>
      <c r="D53" s="119"/>
      <c r="E53" s="61"/>
      <c r="F53" s="62"/>
      <c r="G53" s="63"/>
      <c r="H53" s="63"/>
      <c r="I53" s="80"/>
      <c r="J53" s="262"/>
      <c r="K53" s="65"/>
      <c r="L53" s="80"/>
      <c r="M53" s="66"/>
      <c r="N53" s="66"/>
      <c r="O53" s="92"/>
      <c r="P53" s="87"/>
      <c r="Q53" s="68"/>
      <c r="R53" s="35">
        <f t="shared" si="1"/>
        <v>53</v>
      </c>
      <c r="S53" s="69"/>
    </row>
    <row r="54" spans="1:20" s="70" customFormat="1" ht="12">
      <c r="A54" s="35">
        <f t="shared" si="0"/>
        <v>54</v>
      </c>
      <c r="B54" s="93" t="s">
        <v>55</v>
      </c>
      <c r="C54" s="101"/>
      <c r="D54" s="119"/>
      <c r="E54" s="585">
        <f>SUM(D55:D65)</f>
        <v>34050</v>
      </c>
      <c r="F54" s="62"/>
      <c r="G54" s="63"/>
      <c r="H54" s="585">
        <f>SUM(G55:G65)</f>
        <v>23092.6</v>
      </c>
      <c r="I54" s="80"/>
      <c r="J54" s="262"/>
      <c r="K54" s="585">
        <f>SUM(J55:J65)</f>
        <v>13020</v>
      </c>
      <c r="L54" s="80"/>
      <c r="M54" s="66"/>
      <c r="N54" s="585">
        <f>SUM(M55:M65)</f>
        <v>36112.6</v>
      </c>
      <c r="O54" s="92"/>
      <c r="P54" s="87"/>
      <c r="Q54" s="585">
        <f>SUM(P55:P65)</f>
        <v>2062.6</v>
      </c>
      <c r="R54" s="35">
        <f t="shared" si="1"/>
        <v>54</v>
      </c>
      <c r="S54" s="606">
        <f>+N54-E54</f>
        <v>2062.5999999999985</v>
      </c>
      <c r="T54" s="607">
        <f>+Q54-S54</f>
        <v>0</v>
      </c>
    </row>
    <row r="55" spans="1:20" s="70" customFormat="1" ht="12">
      <c r="A55" s="35">
        <f t="shared" si="0"/>
        <v>55</v>
      </c>
      <c r="B55" s="121"/>
      <c r="C55" s="101" t="s">
        <v>201</v>
      </c>
      <c r="D55" s="119">
        <v>3500</v>
      </c>
      <c r="E55" s="61"/>
      <c r="F55" s="62"/>
      <c r="G55" s="63">
        <f>299+1440</f>
        <v>1739</v>
      </c>
      <c r="H55" s="63"/>
      <c r="I55" s="80"/>
      <c r="J55" s="262">
        <v>1650</v>
      </c>
      <c r="K55" s="65"/>
      <c r="L55" s="80"/>
      <c r="M55" s="66">
        <f t="shared" ref="M55:M65" si="8">+G55+J55</f>
        <v>3389</v>
      </c>
      <c r="N55" s="66"/>
      <c r="O55" s="92"/>
      <c r="P55" s="87">
        <f t="shared" ref="P55:P65" si="9">+M55-D55</f>
        <v>-111</v>
      </c>
      <c r="Q55" s="68"/>
      <c r="R55" s="35">
        <f t="shared" si="1"/>
        <v>55</v>
      </c>
      <c r="S55" s="69"/>
    </row>
    <row r="56" spans="1:20" s="70" customFormat="1" ht="12">
      <c r="A56" s="35">
        <f t="shared" si="0"/>
        <v>56</v>
      </c>
      <c r="B56" s="121"/>
      <c r="C56" s="101" t="s">
        <v>57</v>
      </c>
      <c r="D56" s="119">
        <v>2500</v>
      </c>
      <c r="E56" s="61"/>
      <c r="F56" s="62"/>
      <c r="G56" s="63">
        <f>174.95*8 +180+180</f>
        <v>1759.6</v>
      </c>
      <c r="H56" s="63"/>
      <c r="I56" s="80"/>
      <c r="J56" s="262">
        <v>750</v>
      </c>
      <c r="K56" s="65"/>
      <c r="L56" s="80"/>
      <c r="M56" s="66">
        <f t="shared" si="8"/>
        <v>2509.6</v>
      </c>
      <c r="N56" s="66"/>
      <c r="O56" s="92"/>
      <c r="P56" s="87">
        <f t="shared" si="9"/>
        <v>9.5999999999999091</v>
      </c>
      <c r="Q56" s="68"/>
      <c r="R56" s="35">
        <f t="shared" si="1"/>
        <v>56</v>
      </c>
      <c r="S56" s="69"/>
    </row>
    <row r="57" spans="1:20" s="70" customFormat="1" ht="12">
      <c r="A57" s="35">
        <f t="shared" si="0"/>
        <v>57</v>
      </c>
      <c r="B57" s="93"/>
      <c r="C57" s="101" t="s">
        <v>58</v>
      </c>
      <c r="D57" s="119">
        <v>1500</v>
      </c>
      <c r="E57" s="61"/>
      <c r="F57" s="62"/>
      <c r="G57" s="63">
        <f>1241-500</f>
        <v>741</v>
      </c>
      <c r="H57" s="63"/>
      <c r="I57" s="80"/>
      <c r="J57" s="262">
        <v>250</v>
      </c>
      <c r="K57" s="65"/>
      <c r="L57" s="80"/>
      <c r="M57" s="66">
        <f t="shared" si="8"/>
        <v>991</v>
      </c>
      <c r="N57" s="66"/>
      <c r="O57" s="92"/>
      <c r="P57" s="87">
        <f t="shared" si="9"/>
        <v>-509</v>
      </c>
      <c r="Q57" s="68"/>
      <c r="R57" s="35">
        <f t="shared" si="1"/>
        <v>57</v>
      </c>
      <c r="S57" s="69"/>
    </row>
    <row r="58" spans="1:20" s="70" customFormat="1" ht="12">
      <c r="A58" s="35">
        <f t="shared" si="0"/>
        <v>58</v>
      </c>
      <c r="B58" s="93"/>
      <c r="C58" s="221" t="s">
        <v>59</v>
      </c>
      <c r="D58" s="119">
        <v>1700</v>
      </c>
      <c r="E58" s="61"/>
      <c r="F58" s="62"/>
      <c r="G58" s="63">
        <f>381+643</f>
        <v>1024</v>
      </c>
      <c r="H58" s="63"/>
      <c r="I58" s="80"/>
      <c r="J58" s="262">
        <v>3000</v>
      </c>
      <c r="K58" s="65"/>
      <c r="L58" s="80"/>
      <c r="M58" s="66">
        <f t="shared" si="8"/>
        <v>4024</v>
      </c>
      <c r="N58" s="66"/>
      <c r="O58" s="92"/>
      <c r="P58" s="87">
        <f t="shared" si="9"/>
        <v>2324</v>
      </c>
      <c r="Q58" s="68"/>
      <c r="R58" s="35">
        <f t="shared" si="1"/>
        <v>58</v>
      </c>
      <c r="S58" s="69" t="s">
        <v>202</v>
      </c>
    </row>
    <row r="59" spans="1:20" s="70" customFormat="1" ht="12">
      <c r="A59" s="35">
        <f t="shared" si="0"/>
        <v>59</v>
      </c>
      <c r="B59" s="93"/>
      <c r="C59" s="88" t="s">
        <v>104</v>
      </c>
      <c r="D59" s="119">
        <v>18000</v>
      </c>
      <c r="E59" s="61"/>
      <c r="F59" s="62"/>
      <c r="G59" s="63">
        <f>12850+150+563+125+7+675</f>
        <v>14370</v>
      </c>
      <c r="H59" s="63"/>
      <c r="I59" s="80"/>
      <c r="J59" s="262">
        <f>1235+1235+3250</f>
        <v>5720</v>
      </c>
      <c r="K59" s="65"/>
      <c r="L59" s="80"/>
      <c r="M59" s="66">
        <f t="shared" si="8"/>
        <v>20090</v>
      </c>
      <c r="N59" s="66"/>
      <c r="O59" s="92"/>
      <c r="P59" s="87">
        <f t="shared" si="9"/>
        <v>2090</v>
      </c>
      <c r="Q59" s="68"/>
      <c r="R59" s="35">
        <f t="shared" si="1"/>
        <v>59</v>
      </c>
      <c r="S59" s="69"/>
    </row>
    <row r="60" spans="1:20" s="70" customFormat="1" ht="12">
      <c r="A60" s="35">
        <f t="shared" si="0"/>
        <v>60</v>
      </c>
      <c r="B60" s="93"/>
      <c r="C60" s="101" t="s">
        <v>62</v>
      </c>
      <c r="D60" s="119">
        <v>2500</v>
      </c>
      <c r="E60" s="61"/>
      <c r="F60" s="62"/>
      <c r="G60" s="63">
        <v>1006</v>
      </c>
      <c r="H60" s="63"/>
      <c r="I60" s="80"/>
      <c r="J60" s="262">
        <v>150</v>
      </c>
      <c r="K60" s="65"/>
      <c r="L60" s="80"/>
      <c r="M60" s="66">
        <f t="shared" si="8"/>
        <v>1156</v>
      </c>
      <c r="N60" s="66"/>
      <c r="O60" s="92"/>
      <c r="P60" s="87">
        <f t="shared" si="9"/>
        <v>-1344</v>
      </c>
      <c r="Q60" s="68"/>
      <c r="R60" s="35">
        <f t="shared" si="1"/>
        <v>60</v>
      </c>
      <c r="S60" s="69"/>
    </row>
    <row r="61" spans="1:20" s="70" customFormat="1" ht="12">
      <c r="A61" s="35">
        <f t="shared" si="0"/>
        <v>61</v>
      </c>
      <c r="B61" s="93"/>
      <c r="C61" s="101" t="s">
        <v>63</v>
      </c>
      <c r="D61" s="119">
        <v>500</v>
      </c>
      <c r="E61" s="61"/>
      <c r="F61" s="62"/>
      <c r="G61" s="63">
        <v>315</v>
      </c>
      <c r="H61" s="63"/>
      <c r="I61" s="80"/>
      <c r="J61" s="262">
        <v>100</v>
      </c>
      <c r="K61" s="65"/>
      <c r="L61" s="80"/>
      <c r="M61" s="66">
        <f t="shared" si="8"/>
        <v>415</v>
      </c>
      <c r="N61" s="66"/>
      <c r="O61" s="92"/>
      <c r="P61" s="87">
        <f t="shared" si="9"/>
        <v>-85</v>
      </c>
      <c r="Q61" s="68"/>
      <c r="R61" s="35">
        <f t="shared" si="1"/>
        <v>61</v>
      </c>
      <c r="S61" s="69"/>
    </row>
    <row r="62" spans="1:20" s="70" customFormat="1" ht="12">
      <c r="A62" s="35">
        <f t="shared" si="0"/>
        <v>62</v>
      </c>
      <c r="B62" s="93"/>
      <c r="C62" s="101" t="s">
        <v>64</v>
      </c>
      <c r="D62" s="119">
        <v>850</v>
      </c>
      <c r="E62" s="61"/>
      <c r="F62" s="62"/>
      <c r="G62" s="63">
        <v>720</v>
      </c>
      <c r="H62" s="63"/>
      <c r="I62" s="80"/>
      <c r="J62" s="262">
        <v>400</v>
      </c>
      <c r="K62" s="65"/>
      <c r="L62" s="80"/>
      <c r="M62" s="66">
        <f t="shared" si="8"/>
        <v>1120</v>
      </c>
      <c r="N62" s="66"/>
      <c r="O62" s="92"/>
      <c r="P62" s="87">
        <f t="shared" si="9"/>
        <v>270</v>
      </c>
      <c r="Q62" s="68"/>
      <c r="R62" s="35">
        <f t="shared" si="1"/>
        <v>62</v>
      </c>
      <c r="S62" s="69"/>
    </row>
    <row r="63" spans="1:20" s="70" customFormat="1" ht="12">
      <c r="A63" s="35">
        <f t="shared" si="0"/>
        <v>63</v>
      </c>
      <c r="B63" s="93"/>
      <c r="C63" s="221" t="s">
        <v>65</v>
      </c>
      <c r="D63" s="119">
        <v>2000</v>
      </c>
      <c r="E63" s="61"/>
      <c r="F63" s="62"/>
      <c r="G63" s="63">
        <f>1084+14</f>
        <v>1098</v>
      </c>
      <c r="H63" s="63"/>
      <c r="I63" s="80"/>
      <c r="J63" s="262">
        <v>500</v>
      </c>
      <c r="K63" s="65"/>
      <c r="L63" s="80"/>
      <c r="M63" s="66">
        <f t="shared" si="8"/>
        <v>1598</v>
      </c>
      <c r="N63" s="66"/>
      <c r="O63" s="92"/>
      <c r="P63" s="87">
        <f t="shared" si="9"/>
        <v>-402</v>
      </c>
      <c r="Q63" s="68"/>
      <c r="R63" s="35">
        <f t="shared" si="1"/>
        <v>63</v>
      </c>
      <c r="S63" s="69"/>
    </row>
    <row r="64" spans="1:20" s="70" customFormat="1" ht="12">
      <c r="A64" s="35">
        <f t="shared" si="0"/>
        <v>64</v>
      </c>
      <c r="B64" s="93"/>
      <c r="C64" s="101" t="s">
        <v>41</v>
      </c>
      <c r="D64" s="119">
        <v>500</v>
      </c>
      <c r="E64" s="61"/>
      <c r="F64" s="62"/>
      <c r="G64" s="63"/>
      <c r="H64" s="63"/>
      <c r="I64" s="80"/>
      <c r="J64" s="65">
        <v>400</v>
      </c>
      <c r="K64" s="65"/>
      <c r="L64" s="80"/>
      <c r="M64" s="66">
        <f t="shared" si="8"/>
        <v>400</v>
      </c>
      <c r="N64" s="66"/>
      <c r="O64" s="92"/>
      <c r="P64" s="87">
        <f t="shared" si="9"/>
        <v>-100</v>
      </c>
      <c r="Q64" s="68"/>
      <c r="R64" s="35">
        <f t="shared" si="1"/>
        <v>64</v>
      </c>
      <c r="S64" s="69"/>
    </row>
    <row r="65" spans="1:20" s="70" customFormat="1" ht="12">
      <c r="A65" s="35">
        <f t="shared" si="0"/>
        <v>65</v>
      </c>
      <c r="B65" s="93"/>
      <c r="C65" s="221" t="s">
        <v>101</v>
      </c>
      <c r="D65" s="119">
        <v>500</v>
      </c>
      <c r="E65" s="61"/>
      <c r="F65" s="62"/>
      <c r="G65" s="63">
        <v>320</v>
      </c>
      <c r="H65" s="63"/>
      <c r="I65" s="80"/>
      <c r="J65" s="65">
        <v>100</v>
      </c>
      <c r="K65" s="65"/>
      <c r="L65" s="80"/>
      <c r="M65" s="66">
        <f t="shared" si="8"/>
        <v>420</v>
      </c>
      <c r="N65" s="66"/>
      <c r="O65" s="92"/>
      <c r="P65" s="87">
        <f t="shared" si="9"/>
        <v>-80</v>
      </c>
      <c r="Q65" s="68"/>
      <c r="R65" s="35">
        <f t="shared" si="1"/>
        <v>65</v>
      </c>
      <c r="S65" s="69"/>
    </row>
    <row r="66" spans="1:20" s="70" customFormat="1" ht="12">
      <c r="A66" s="35">
        <f t="shared" si="0"/>
        <v>66</v>
      </c>
      <c r="B66" s="93"/>
      <c r="D66" s="119"/>
      <c r="E66" s="61"/>
      <c r="F66" s="62"/>
      <c r="G66" s="63"/>
      <c r="H66" s="63"/>
      <c r="I66" s="80"/>
      <c r="J66" s="65"/>
      <c r="K66" s="65"/>
      <c r="L66" s="80"/>
      <c r="M66" s="66"/>
      <c r="N66" s="66"/>
      <c r="O66" s="92"/>
      <c r="P66" s="87"/>
      <c r="Q66" s="122"/>
      <c r="R66" s="35">
        <f t="shared" si="1"/>
        <v>66</v>
      </c>
      <c r="S66" s="69"/>
    </row>
    <row r="67" spans="1:20" s="70" customFormat="1" ht="12">
      <c r="A67" s="35">
        <f t="shared" ref="A67:A88" si="10">+A66+1</f>
        <v>67</v>
      </c>
      <c r="B67" s="93"/>
      <c r="C67" s="101"/>
      <c r="D67" s="119"/>
      <c r="E67" s="61"/>
      <c r="F67" s="62"/>
      <c r="G67" s="63"/>
      <c r="H67" s="63"/>
      <c r="I67" s="80"/>
      <c r="J67" s="65"/>
      <c r="K67" s="65"/>
      <c r="L67" s="80"/>
      <c r="M67" s="66"/>
      <c r="N67" s="66"/>
      <c r="O67" s="92"/>
      <c r="P67" s="87"/>
      <c r="Q67" s="122"/>
      <c r="R67" s="35">
        <f t="shared" ref="R67:R88" si="11">+R66+1</f>
        <v>67</v>
      </c>
      <c r="S67" s="69"/>
    </row>
    <row r="68" spans="1:20" s="70" customFormat="1" ht="12">
      <c r="A68" s="35">
        <f t="shared" si="10"/>
        <v>68</v>
      </c>
      <c r="B68" s="93" t="s">
        <v>66</v>
      </c>
      <c r="C68" s="101"/>
      <c r="D68" s="119"/>
      <c r="E68" s="585">
        <f>SUM(D69:D75)</f>
        <v>169888</v>
      </c>
      <c r="F68" s="62"/>
      <c r="G68" s="63"/>
      <c r="H68" s="585">
        <f>SUM(G69:G75)</f>
        <v>146939</v>
      </c>
      <c r="I68" s="80"/>
      <c r="J68" s="65"/>
      <c r="K68" s="585">
        <f>SUM(J69:J75)</f>
        <v>22363</v>
      </c>
      <c r="L68" s="80"/>
      <c r="M68" s="66"/>
      <c r="N68" s="585">
        <f>SUM(M69:M75)</f>
        <v>169302</v>
      </c>
      <c r="O68" s="92"/>
      <c r="P68" s="87"/>
      <c r="Q68" s="585">
        <f>SUM(P69:P75)</f>
        <v>-586</v>
      </c>
      <c r="R68" s="35">
        <f t="shared" si="11"/>
        <v>68</v>
      </c>
      <c r="S68" s="69"/>
    </row>
    <row r="69" spans="1:20" s="70" customFormat="1" ht="12">
      <c r="A69" s="35">
        <f t="shared" si="10"/>
        <v>69</v>
      </c>
      <c r="B69" s="93"/>
      <c r="C69" s="221" t="s">
        <v>67</v>
      </c>
      <c r="D69" s="123">
        <v>19747</v>
      </c>
      <c r="E69" s="61"/>
      <c r="F69" s="62"/>
      <c r="G69" s="63">
        <v>19747</v>
      </c>
      <c r="H69" s="63"/>
      <c r="I69" s="80"/>
      <c r="J69" s="65">
        <v>0</v>
      </c>
      <c r="K69" s="65"/>
      <c r="L69" s="80"/>
      <c r="M69" s="66">
        <f t="shared" ref="M69:M74" si="12">+G69+J69</f>
        <v>19747</v>
      </c>
      <c r="N69" s="66"/>
      <c r="O69" s="92"/>
      <c r="P69" s="87">
        <f t="shared" ref="P69:P74" si="13">+M69-D69</f>
        <v>0</v>
      </c>
      <c r="Q69" s="68"/>
      <c r="R69" s="35">
        <f t="shared" si="11"/>
        <v>69</v>
      </c>
      <c r="S69" s="69"/>
    </row>
    <row r="70" spans="1:20" s="70" customFormat="1" ht="12">
      <c r="A70" s="35">
        <f t="shared" si="10"/>
        <v>70</v>
      </c>
      <c r="B70" s="93"/>
      <c r="C70" s="221" t="s">
        <v>105</v>
      </c>
      <c r="D70" s="119">
        <v>40800</v>
      </c>
      <c r="E70" s="61"/>
      <c r="F70" s="62"/>
      <c r="G70" s="63">
        <v>34000</v>
      </c>
      <c r="H70" s="63"/>
      <c r="I70" s="80"/>
      <c r="J70" s="65">
        <v>6800</v>
      </c>
      <c r="K70" s="65"/>
      <c r="L70" s="80"/>
      <c r="M70" s="66">
        <f t="shared" si="12"/>
        <v>40800</v>
      </c>
      <c r="N70" s="66"/>
      <c r="O70" s="92"/>
      <c r="P70" s="87">
        <f t="shared" si="13"/>
        <v>0</v>
      </c>
      <c r="Q70" s="68"/>
      <c r="R70" s="35">
        <f t="shared" si="11"/>
        <v>70</v>
      </c>
      <c r="S70" s="69"/>
    </row>
    <row r="71" spans="1:20" s="70" customFormat="1" ht="14" customHeight="1">
      <c r="A71" s="35">
        <f t="shared" si="10"/>
        <v>71</v>
      </c>
      <c r="B71" s="93"/>
      <c r="C71" s="221" t="s">
        <v>69</v>
      </c>
      <c r="D71" s="119">
        <v>71341</v>
      </c>
      <c r="E71" s="61"/>
      <c r="F71" s="62"/>
      <c r="G71" s="63">
        <v>60758</v>
      </c>
      <c r="H71" s="63"/>
      <c r="I71" s="64"/>
      <c r="J71" s="65">
        <v>10583</v>
      </c>
      <c r="K71" s="65"/>
      <c r="L71" s="64"/>
      <c r="M71" s="66">
        <f t="shared" si="12"/>
        <v>71341</v>
      </c>
      <c r="N71" s="66"/>
      <c r="O71" s="62"/>
      <c r="P71" s="87">
        <f t="shared" si="13"/>
        <v>0</v>
      </c>
      <c r="Q71" s="68"/>
      <c r="R71" s="35">
        <f t="shared" si="11"/>
        <v>71</v>
      </c>
      <c r="S71" s="69"/>
    </row>
    <row r="72" spans="1:20" s="70" customFormat="1" ht="12">
      <c r="A72" s="35">
        <f t="shared" si="10"/>
        <v>72</v>
      </c>
      <c r="B72" s="93"/>
      <c r="C72" s="221" t="s">
        <v>70</v>
      </c>
      <c r="D72" s="119">
        <v>20000</v>
      </c>
      <c r="E72" s="61"/>
      <c r="F72" s="62"/>
      <c r="G72" s="63">
        <f>1867+18130</f>
        <v>19997</v>
      </c>
      <c r="H72" s="63"/>
      <c r="I72" s="64"/>
      <c r="J72" s="65">
        <f>1540+1540</f>
        <v>3080</v>
      </c>
      <c r="K72" s="262"/>
      <c r="L72" s="64"/>
      <c r="M72" s="66">
        <f t="shared" si="12"/>
        <v>23077</v>
      </c>
      <c r="N72" s="66"/>
      <c r="O72" s="62"/>
      <c r="P72" s="87">
        <f t="shared" si="13"/>
        <v>3077</v>
      </c>
      <c r="Q72" s="68"/>
      <c r="R72" s="35">
        <f t="shared" si="11"/>
        <v>72</v>
      </c>
      <c r="S72" s="69"/>
    </row>
    <row r="73" spans="1:20" s="70" customFormat="1" ht="12">
      <c r="A73" s="35">
        <f t="shared" si="10"/>
        <v>73</v>
      </c>
      <c r="B73" s="93"/>
      <c r="C73" s="88" t="s">
        <v>71</v>
      </c>
      <c r="D73" s="119">
        <v>15000</v>
      </c>
      <c r="E73" s="61"/>
      <c r="F73" s="62"/>
      <c r="G73" s="63">
        <f>12437-1815</f>
        <v>10622</v>
      </c>
      <c r="H73" s="63"/>
      <c r="I73" s="64"/>
      <c r="J73" s="65">
        <v>1600</v>
      </c>
      <c r="K73" s="65"/>
      <c r="L73" s="64"/>
      <c r="M73" s="66">
        <f t="shared" si="12"/>
        <v>12222</v>
      </c>
      <c r="N73" s="66"/>
      <c r="O73" s="62"/>
      <c r="P73" s="87">
        <f t="shared" si="13"/>
        <v>-2778</v>
      </c>
      <c r="Q73" s="68"/>
      <c r="R73" s="35">
        <f t="shared" si="11"/>
        <v>73</v>
      </c>
      <c r="S73" s="69"/>
    </row>
    <row r="74" spans="1:20" s="70" customFormat="1" ht="12">
      <c r="A74" s="35">
        <f t="shared" si="10"/>
        <v>74</v>
      </c>
      <c r="B74" s="89"/>
      <c r="C74" s="88" t="s">
        <v>72</v>
      </c>
      <c r="D74" s="119">
        <v>3000</v>
      </c>
      <c r="E74" s="61"/>
      <c r="F74" s="62"/>
      <c r="G74" s="63">
        <v>1815</v>
      </c>
      <c r="H74" s="261"/>
      <c r="I74" s="64"/>
      <c r="J74" s="65">
        <v>300</v>
      </c>
      <c r="K74" s="65"/>
      <c r="L74" s="64"/>
      <c r="M74" s="66">
        <f t="shared" si="12"/>
        <v>2115</v>
      </c>
      <c r="N74" s="66"/>
      <c r="O74" s="62"/>
      <c r="P74" s="87">
        <f t="shared" si="13"/>
        <v>-885</v>
      </c>
      <c r="Q74" s="68"/>
      <c r="R74" s="35">
        <f t="shared" si="11"/>
        <v>74</v>
      </c>
      <c r="S74" s="69"/>
    </row>
    <row r="75" spans="1:20" s="70" customFormat="1" ht="12">
      <c r="A75" s="35">
        <f t="shared" si="10"/>
        <v>75</v>
      </c>
      <c r="B75" s="93"/>
      <c r="C75" s="101"/>
      <c r="D75" s="119"/>
      <c r="E75" s="61"/>
      <c r="F75" s="62"/>
      <c r="G75" s="261"/>
      <c r="H75" s="261"/>
      <c r="I75" s="64"/>
      <c r="J75" s="262"/>
      <c r="K75" s="262"/>
      <c r="L75" s="64"/>
      <c r="M75" s="66"/>
      <c r="N75" s="66"/>
      <c r="O75" s="62"/>
      <c r="P75" s="87"/>
      <c r="Q75" s="68"/>
      <c r="R75" s="35">
        <f t="shared" si="11"/>
        <v>75</v>
      </c>
      <c r="S75" s="69"/>
    </row>
    <row r="76" spans="1:20" s="70" customFormat="1" ht="13" thickBot="1">
      <c r="A76" s="35">
        <f t="shared" si="10"/>
        <v>76</v>
      </c>
      <c r="B76" s="124"/>
      <c r="C76" s="224"/>
      <c r="D76" s="125"/>
      <c r="E76" s="95"/>
      <c r="F76" s="62"/>
      <c r="G76" s="103"/>
      <c r="H76" s="96"/>
      <c r="I76" s="64"/>
      <c r="J76" s="104"/>
      <c r="K76" s="97"/>
      <c r="L76" s="64"/>
      <c r="M76" s="105"/>
      <c r="N76" s="98"/>
      <c r="O76" s="62"/>
      <c r="P76" s="122"/>
      <c r="Q76" s="99"/>
      <c r="R76" s="35">
        <f t="shared" si="11"/>
        <v>76</v>
      </c>
      <c r="S76" s="69"/>
    </row>
    <row r="77" spans="1:20" s="70" customFormat="1" ht="13" thickBot="1">
      <c r="A77" s="35">
        <f t="shared" si="10"/>
        <v>77</v>
      </c>
      <c r="B77" s="126" t="s">
        <v>73</v>
      </c>
      <c r="C77" s="127"/>
      <c r="D77" s="128"/>
      <c r="E77" s="110">
        <f>SUM(E34,E49,E54,E68,E75)</f>
        <v>259066</v>
      </c>
      <c r="F77" s="62"/>
      <c r="G77" s="109"/>
      <c r="H77" s="110">
        <f>SUM(H34,H49,H54,H68,H75)</f>
        <v>214234.6</v>
      </c>
      <c r="I77" s="111"/>
      <c r="J77" s="109"/>
      <c r="K77" s="110">
        <f>SUM(K34,K49,K54,K68,K75)</f>
        <v>58083</v>
      </c>
      <c r="L77" s="111"/>
      <c r="M77" s="109"/>
      <c r="N77" s="110">
        <f>SUM(N34,N49,N54,N68,N75)</f>
        <v>272317.59999999998</v>
      </c>
      <c r="O77" s="62"/>
      <c r="P77" s="109"/>
      <c r="Q77" s="112">
        <f>SUM(Q34,Q49,Q54,Q68,Q75)</f>
        <v>13251.6</v>
      </c>
      <c r="R77" s="35">
        <f t="shared" si="11"/>
        <v>77</v>
      </c>
      <c r="S77" s="606">
        <f>+N77-E77</f>
        <v>13251.599999999977</v>
      </c>
      <c r="T77" s="607">
        <f>+Q77-S77</f>
        <v>2.3646862246096134E-11</v>
      </c>
    </row>
    <row r="78" spans="1:20" s="70" customFormat="1" ht="12">
      <c r="A78" s="35">
        <f t="shared" si="10"/>
        <v>78</v>
      </c>
      <c r="B78" s="129"/>
      <c r="C78" s="100"/>
      <c r="D78" s="132"/>
      <c r="E78" s="114"/>
      <c r="F78" s="62"/>
      <c r="G78" s="143"/>
      <c r="H78" s="115"/>
      <c r="I78" s="64"/>
      <c r="J78" s="143"/>
      <c r="K78" s="581"/>
      <c r="L78" s="64"/>
      <c r="M78" s="143"/>
      <c r="N78" s="66"/>
      <c r="O78" s="62"/>
      <c r="P78" s="143"/>
      <c r="Q78" s="118"/>
      <c r="R78" s="35">
        <f t="shared" si="11"/>
        <v>78</v>
      </c>
      <c r="S78" s="69"/>
    </row>
    <row r="79" spans="1:20" s="69" customFormat="1" ht="12">
      <c r="A79" s="35">
        <f t="shared" si="10"/>
        <v>79</v>
      </c>
      <c r="B79" s="130" t="s">
        <v>207</v>
      </c>
      <c r="C79" s="131"/>
      <c r="D79" s="568"/>
      <c r="E79" s="565">
        <f>+E31-E77</f>
        <v>-41573</v>
      </c>
      <c r="F79" s="62"/>
      <c r="G79" s="140"/>
      <c r="H79" s="133">
        <f>+H31-H77</f>
        <v>51677.399999999994</v>
      </c>
      <c r="I79" s="135"/>
      <c r="J79" s="140"/>
      <c r="K79" s="583">
        <f>+K31-K77</f>
        <v>-23508</v>
      </c>
      <c r="L79" s="136"/>
      <c r="M79" s="141"/>
      <c r="N79" s="138">
        <f>+N31-N77</f>
        <v>28169.400000000023</v>
      </c>
      <c r="O79" s="81"/>
      <c r="P79" s="141"/>
      <c r="Q79" s="138">
        <f>+Q31-Q77</f>
        <v>69742.399999999994</v>
      </c>
      <c r="R79" s="35">
        <f t="shared" si="11"/>
        <v>79</v>
      </c>
      <c r="S79" s="606">
        <f>+N79-E79</f>
        <v>69742.400000000023</v>
      </c>
      <c r="T79" s="607">
        <f>+Q79-S79</f>
        <v>0</v>
      </c>
    </row>
    <row r="80" spans="1:20" s="69" customFormat="1" ht="12">
      <c r="A80" s="35">
        <f t="shared" si="10"/>
        <v>80</v>
      </c>
      <c r="B80" s="566"/>
      <c r="C80" s="567" t="s">
        <v>204</v>
      </c>
      <c r="D80" s="568"/>
      <c r="E80" s="592"/>
      <c r="F80" s="62"/>
      <c r="G80" s="140"/>
      <c r="H80" s="593"/>
      <c r="I80" s="135"/>
      <c r="J80" s="140"/>
      <c r="K80" s="582">
        <f>-525-400-2500-5000-2500</f>
        <v>-10925</v>
      </c>
      <c r="L80" s="136"/>
      <c r="M80" s="141"/>
      <c r="N80" s="579">
        <f>+H80+K80</f>
        <v>-10925</v>
      </c>
      <c r="O80" s="81"/>
      <c r="P80" s="141"/>
      <c r="Q80" s="99">
        <f>+N80-E80</f>
        <v>-10925</v>
      </c>
      <c r="R80" s="35">
        <f t="shared" si="11"/>
        <v>80</v>
      </c>
      <c r="S80" s="62"/>
      <c r="T80" s="113"/>
    </row>
    <row r="81" spans="1:20" s="70" customFormat="1" ht="12">
      <c r="A81" s="35">
        <f t="shared" si="10"/>
        <v>81</v>
      </c>
      <c r="B81" s="93"/>
      <c r="C81" s="569" t="s">
        <v>139</v>
      </c>
      <c r="D81" s="139"/>
      <c r="E81" s="570">
        <v>-11000</v>
      </c>
      <c r="F81" s="62"/>
      <c r="G81" s="140"/>
      <c r="H81" s="575">
        <v>-5167</v>
      </c>
      <c r="I81" s="80"/>
      <c r="J81" s="140"/>
      <c r="K81" s="574">
        <v>0</v>
      </c>
      <c r="L81" s="80"/>
      <c r="M81" s="141"/>
      <c r="N81" s="576">
        <f>+H81+K81</f>
        <v>-5167</v>
      </c>
      <c r="O81" s="92"/>
      <c r="P81" s="140"/>
      <c r="Q81" s="596">
        <f>+N81-E81</f>
        <v>5833</v>
      </c>
      <c r="R81" s="35">
        <f t="shared" si="11"/>
        <v>81</v>
      </c>
      <c r="S81" s="69"/>
    </row>
    <row r="82" spans="1:20" s="70" customFormat="1" ht="12">
      <c r="A82" s="35">
        <f t="shared" si="10"/>
        <v>82</v>
      </c>
      <c r="B82" s="93"/>
      <c r="C82" s="569" t="s">
        <v>140</v>
      </c>
      <c r="D82" s="139"/>
      <c r="E82" s="570">
        <v>0</v>
      </c>
      <c r="F82" s="62"/>
      <c r="G82" s="140"/>
      <c r="H82" s="594">
        <v>0</v>
      </c>
      <c r="I82" s="80"/>
      <c r="J82" s="140"/>
      <c r="K82" s="574">
        <v>0</v>
      </c>
      <c r="L82" s="80"/>
      <c r="M82" s="141"/>
      <c r="N82" s="595">
        <f>+H82+K82</f>
        <v>0</v>
      </c>
      <c r="O82" s="92"/>
      <c r="P82" s="140"/>
      <c r="Q82" s="597">
        <v>0</v>
      </c>
      <c r="R82" s="35">
        <f t="shared" si="11"/>
        <v>82</v>
      </c>
      <c r="S82" s="69"/>
    </row>
    <row r="83" spans="1:20" s="70" customFormat="1" ht="12">
      <c r="A83" s="35">
        <f t="shared" si="10"/>
        <v>83</v>
      </c>
      <c r="B83" s="590" t="s">
        <v>208</v>
      </c>
      <c r="C83" s="591"/>
      <c r="D83" s="139"/>
      <c r="E83" s="584">
        <f>SUM(E79:E82)</f>
        <v>-52573</v>
      </c>
      <c r="F83" s="62"/>
      <c r="G83" s="140"/>
      <c r="H83" s="584">
        <f>SUM(H79:H82)</f>
        <v>46510.399999999994</v>
      </c>
      <c r="I83" s="80"/>
      <c r="J83" s="140"/>
      <c r="K83" s="584">
        <f>SUM(K79:K82)</f>
        <v>-34433</v>
      </c>
      <c r="L83" s="80"/>
      <c r="M83" s="141"/>
      <c r="N83" s="584">
        <f>SUM(N79:N82)</f>
        <v>12077.400000000023</v>
      </c>
      <c r="O83" s="92"/>
      <c r="P83" s="140"/>
      <c r="Q83" s="584">
        <f>SUM(Q79:Q82)</f>
        <v>64650.399999999994</v>
      </c>
      <c r="R83" s="35">
        <f t="shared" si="11"/>
        <v>83</v>
      </c>
      <c r="S83" s="69"/>
    </row>
    <row r="84" spans="1:20" s="70" customFormat="1" ht="12">
      <c r="A84" s="35">
        <f t="shared" si="10"/>
        <v>84</v>
      </c>
      <c r="B84" s="93" t="s">
        <v>74</v>
      </c>
      <c r="C84" s="69"/>
      <c r="D84" s="144"/>
      <c r="E84" s="145">
        <v>-50000</v>
      </c>
      <c r="F84" s="62"/>
      <c r="G84" s="146"/>
      <c r="H84" s="575">
        <f>SUM(G85:G86)</f>
        <v>-3251</v>
      </c>
      <c r="I84" s="80"/>
      <c r="J84" s="146"/>
      <c r="K84" s="574">
        <f>SUM(J85:J86)</f>
        <v>43251</v>
      </c>
      <c r="L84" s="64"/>
      <c r="M84" s="147"/>
      <c r="N84" s="142">
        <f>+H84+K84</f>
        <v>40000</v>
      </c>
      <c r="O84" s="62"/>
      <c r="P84" s="140"/>
      <c r="Q84" s="596">
        <f>+N84-E84</f>
        <v>90000</v>
      </c>
      <c r="R84" s="35">
        <f t="shared" si="11"/>
        <v>84</v>
      </c>
      <c r="S84" s="69"/>
    </row>
    <row r="85" spans="1:20" s="70" customFormat="1" ht="12">
      <c r="A85" s="35">
        <f t="shared" si="10"/>
        <v>85</v>
      </c>
      <c r="B85" s="93"/>
      <c r="C85" s="52" t="s">
        <v>75</v>
      </c>
      <c r="D85" s="119"/>
      <c r="E85" s="95"/>
      <c r="F85" s="62"/>
      <c r="G85" s="103">
        <v>1226</v>
      </c>
      <c r="H85" s="598"/>
      <c r="I85" s="80"/>
      <c r="J85" s="104">
        <f>40000+4477-1226</f>
        <v>43251</v>
      </c>
      <c r="K85" s="580"/>
      <c r="L85" s="64"/>
      <c r="M85" s="66">
        <f>+G85+J85</f>
        <v>44477</v>
      </c>
      <c r="N85" s="599"/>
      <c r="O85" s="62"/>
      <c r="P85" s="601"/>
      <c r="Q85" s="600"/>
      <c r="R85" s="35">
        <f t="shared" si="11"/>
        <v>85</v>
      </c>
      <c r="S85" s="69"/>
    </row>
    <row r="86" spans="1:20" s="70" customFormat="1" ht="12">
      <c r="A86" s="35">
        <f t="shared" si="10"/>
        <v>86</v>
      </c>
      <c r="B86" s="93"/>
      <c r="C86" s="52" t="s">
        <v>76</v>
      </c>
      <c r="D86" s="125"/>
      <c r="E86" s="61"/>
      <c r="F86" s="62"/>
      <c r="G86" s="103">
        <v>-4477</v>
      </c>
      <c r="H86" s="598"/>
      <c r="I86" s="64"/>
      <c r="J86" s="104">
        <v>0</v>
      </c>
      <c r="K86" s="580"/>
      <c r="L86" s="64"/>
      <c r="M86" s="66">
        <f>+G86+J86</f>
        <v>-4477</v>
      </c>
      <c r="N86" s="599"/>
      <c r="O86" s="62"/>
      <c r="P86" s="601"/>
      <c r="Q86" s="600"/>
      <c r="R86" s="35">
        <f t="shared" si="11"/>
        <v>86</v>
      </c>
      <c r="S86" s="69"/>
    </row>
    <row r="87" spans="1:20" s="70" customFormat="1" ht="12">
      <c r="A87" s="35">
        <f t="shared" si="10"/>
        <v>87</v>
      </c>
      <c r="B87" s="93"/>
      <c r="C87" s="100"/>
      <c r="D87" s="132"/>
      <c r="E87" s="95"/>
      <c r="F87" s="62"/>
      <c r="G87" s="148"/>
      <c r="H87" s="598"/>
      <c r="I87" s="64"/>
      <c r="J87" s="148"/>
      <c r="K87" s="116"/>
      <c r="L87" s="64"/>
      <c r="M87" s="143"/>
      <c r="N87" s="117"/>
      <c r="O87" s="62"/>
      <c r="P87" s="601"/>
      <c r="Q87" s="118"/>
      <c r="R87" s="35">
        <f t="shared" si="11"/>
        <v>87</v>
      </c>
      <c r="S87" s="69"/>
    </row>
    <row r="88" spans="1:20" s="69" customFormat="1" ht="13" thickBot="1">
      <c r="A88" s="35">
        <f t="shared" si="10"/>
        <v>88</v>
      </c>
      <c r="B88" s="149" t="s">
        <v>209</v>
      </c>
      <c r="C88" s="150"/>
      <c r="D88" s="151"/>
      <c r="E88" s="571">
        <f>+E83+E84</f>
        <v>-102573</v>
      </c>
      <c r="F88" s="62"/>
      <c r="G88" s="152"/>
      <c r="H88" s="571">
        <f>+H83+H84</f>
        <v>43259.399999999994</v>
      </c>
      <c r="I88" s="64"/>
      <c r="J88" s="152"/>
      <c r="K88" s="571">
        <f>+K83+K84</f>
        <v>8818</v>
      </c>
      <c r="L88" s="64"/>
      <c r="M88" s="152"/>
      <c r="N88" s="571">
        <f>+N83+N84</f>
        <v>52077.400000000023</v>
      </c>
      <c r="O88" s="62"/>
      <c r="P88" s="152"/>
      <c r="Q88" s="571">
        <f>SUM(Q83:Q84)</f>
        <v>154650.4</v>
      </c>
      <c r="R88" s="35">
        <f t="shared" si="11"/>
        <v>88</v>
      </c>
      <c r="S88" s="606">
        <f>+N88-E88</f>
        <v>154650.40000000002</v>
      </c>
      <c r="T88" s="607">
        <f>+Q88-S88</f>
        <v>0</v>
      </c>
    </row>
    <row r="89" spans="1:20" s="69" customFormat="1" ht="13" thickTop="1">
      <c r="A89" s="35"/>
      <c r="B89" s="153"/>
      <c r="C89" s="243"/>
      <c r="D89" s="84"/>
      <c r="E89" s="242">
        <v>2020</v>
      </c>
      <c r="F89" s="154"/>
      <c r="G89" s="155"/>
      <c r="H89" s="157"/>
      <c r="I89" s="156"/>
      <c r="J89" s="155"/>
      <c r="K89" s="157"/>
      <c r="L89" s="158"/>
      <c r="M89" s="159"/>
      <c r="N89" s="157"/>
      <c r="O89" s="160"/>
      <c r="P89" s="161"/>
      <c r="Q89" s="157" t="s">
        <v>205</v>
      </c>
      <c r="R89" s="35"/>
      <c r="S89" s="62"/>
    </row>
    <row r="90" spans="1:20">
      <c r="B90" s="69"/>
      <c r="C90" s="153"/>
      <c r="E90" s="242" t="s">
        <v>203</v>
      </c>
      <c r="F90" s="154"/>
      <c r="G90" s="155"/>
      <c r="H90" s="157" t="s">
        <v>77</v>
      </c>
      <c r="I90" s="156"/>
      <c r="J90" s="155"/>
      <c r="K90" s="157" t="s">
        <v>78</v>
      </c>
      <c r="L90" s="158"/>
      <c r="M90" s="159"/>
      <c r="N90" s="157" t="s">
        <v>79</v>
      </c>
      <c r="P90" s="165"/>
      <c r="Q90" s="157" t="s">
        <v>206</v>
      </c>
    </row>
    <row r="91" spans="1:20">
      <c r="B91" s="572"/>
      <c r="C91" s="573"/>
      <c r="E91" s="153"/>
      <c r="M91" s="165"/>
      <c r="N91" s="165"/>
      <c r="P91" s="165"/>
      <c r="Q91" s="163"/>
    </row>
    <row r="92" spans="1:20">
      <c r="B92" s="69"/>
      <c r="C92" s="244"/>
      <c r="E92" s="69"/>
      <c r="M92" s="165"/>
      <c r="N92" s="165"/>
      <c r="P92" s="165"/>
      <c r="Q92" s="165"/>
    </row>
    <row r="93" spans="1:20">
      <c r="B93" s="69"/>
      <c r="C93" s="167"/>
      <c r="E93" s="69"/>
      <c r="M93" s="165"/>
      <c r="N93" s="165"/>
      <c r="P93" s="165"/>
      <c r="Q93" s="165"/>
    </row>
    <row r="94" spans="1:20">
      <c r="B94" s="69"/>
      <c r="C94" s="167"/>
      <c r="E94" s="168"/>
      <c r="M94" s="165"/>
      <c r="N94" s="165"/>
      <c r="P94" s="165"/>
      <c r="Q94" s="165"/>
    </row>
    <row r="95" spans="1:20">
      <c r="B95" s="69"/>
      <c r="C95" s="167"/>
      <c r="M95" s="165"/>
      <c r="N95" s="165"/>
      <c r="P95" s="165"/>
      <c r="Q95" s="165"/>
    </row>
    <row r="96" spans="1:20">
      <c r="B96" s="69"/>
      <c r="C96" s="167"/>
      <c r="M96" s="165"/>
      <c r="N96" s="165"/>
      <c r="P96" s="165"/>
      <c r="Q96" s="165"/>
    </row>
    <row r="97" spans="2:17">
      <c r="B97" s="69"/>
      <c r="C97" s="167"/>
      <c r="M97" s="165"/>
      <c r="N97" s="165"/>
      <c r="P97" s="165"/>
      <c r="Q97" s="165"/>
    </row>
    <row r="98" spans="2:17">
      <c r="B98" s="69"/>
      <c r="C98" s="167"/>
      <c r="M98" s="165"/>
      <c r="N98" s="165"/>
      <c r="P98" s="165"/>
      <c r="Q98" s="165"/>
    </row>
    <row r="99" spans="2:17">
      <c r="B99" s="69"/>
      <c r="C99" s="167"/>
      <c r="M99" s="165"/>
      <c r="N99" s="165"/>
      <c r="P99" s="165"/>
      <c r="Q99" s="165"/>
    </row>
    <row r="100" spans="2:17">
      <c r="B100" s="69"/>
      <c r="C100" s="167"/>
      <c r="M100" s="165"/>
      <c r="N100" s="165"/>
      <c r="P100" s="165"/>
      <c r="Q100" s="165"/>
    </row>
    <row r="101" spans="2:17">
      <c r="B101" s="69"/>
      <c r="C101" s="167"/>
      <c r="M101" s="165"/>
      <c r="N101" s="165"/>
      <c r="P101" s="165"/>
      <c r="Q101" s="165"/>
    </row>
    <row r="102" spans="2:17">
      <c r="B102" s="69"/>
      <c r="C102" s="167"/>
      <c r="M102" s="165"/>
      <c r="N102" s="165"/>
      <c r="P102" s="165"/>
      <c r="Q102" s="165"/>
    </row>
    <row r="103" spans="2:17">
      <c r="B103" s="69"/>
      <c r="C103" s="167"/>
      <c r="M103" s="165"/>
      <c r="N103" s="165"/>
      <c r="P103" s="165"/>
      <c r="Q103" s="165"/>
    </row>
    <row r="104" spans="2:17">
      <c r="B104" s="69"/>
      <c r="C104" s="167"/>
      <c r="M104" s="165"/>
      <c r="N104" s="165"/>
      <c r="P104" s="165"/>
      <c r="Q104" s="165"/>
    </row>
    <row r="105" spans="2:17">
      <c r="B105" s="69"/>
      <c r="C105" s="167"/>
      <c r="M105" s="165"/>
      <c r="N105" s="165"/>
      <c r="P105" s="165"/>
      <c r="Q105" s="165"/>
    </row>
    <row r="106" spans="2:17">
      <c r="B106" s="69"/>
      <c r="C106" s="167"/>
      <c r="M106" s="165"/>
      <c r="N106" s="165"/>
      <c r="P106" s="165"/>
      <c r="Q106" s="165"/>
    </row>
    <row r="107" spans="2:17">
      <c r="B107" s="69"/>
      <c r="C107" s="167"/>
      <c r="M107" s="165"/>
      <c r="N107" s="165"/>
      <c r="P107" s="165"/>
      <c r="Q107" s="165"/>
    </row>
    <row r="108" spans="2:17">
      <c r="B108" s="69"/>
      <c r="C108" s="167"/>
      <c r="M108" s="165"/>
      <c r="N108" s="165"/>
      <c r="P108" s="165"/>
      <c r="Q108" s="165"/>
    </row>
    <row r="109" spans="2:17">
      <c r="B109" s="69"/>
      <c r="C109" s="167"/>
      <c r="M109" s="165"/>
      <c r="N109" s="165"/>
      <c r="P109" s="165"/>
      <c r="Q109" s="165"/>
    </row>
    <row r="110" spans="2:17">
      <c r="B110" s="69"/>
      <c r="C110" s="167"/>
      <c r="M110" s="165"/>
      <c r="N110" s="165"/>
      <c r="P110" s="165"/>
      <c r="Q110" s="165"/>
    </row>
    <row r="111" spans="2:17">
      <c r="B111" s="69"/>
      <c r="C111" s="167"/>
      <c r="M111" s="165"/>
      <c r="N111" s="165"/>
      <c r="P111" s="165"/>
      <c r="Q111" s="165"/>
    </row>
    <row r="112" spans="2:17">
      <c r="B112" s="69"/>
      <c r="C112" s="167"/>
      <c r="M112" s="165"/>
      <c r="N112" s="165"/>
      <c r="P112" s="165"/>
      <c r="Q112" s="165"/>
    </row>
    <row r="113" spans="2:17">
      <c r="B113" s="69"/>
      <c r="C113" s="167"/>
      <c r="M113" s="165"/>
      <c r="N113" s="165"/>
      <c r="P113" s="165"/>
      <c r="Q113" s="165"/>
    </row>
    <row r="114" spans="2:17">
      <c r="B114" s="69"/>
      <c r="C114" s="167"/>
      <c r="M114" s="165"/>
      <c r="N114" s="165"/>
      <c r="P114" s="165"/>
      <c r="Q114" s="165"/>
    </row>
    <row r="115" spans="2:17">
      <c r="B115" s="69"/>
      <c r="C115" s="167"/>
    </row>
    <row r="116" spans="2:17">
      <c r="B116" s="69"/>
      <c r="C116" s="167"/>
    </row>
    <row r="117" spans="2:17">
      <c r="B117" s="69"/>
      <c r="C117" s="167"/>
    </row>
    <row r="118" spans="2:17">
      <c r="B118" s="69"/>
      <c r="C118" s="167"/>
    </row>
    <row r="119" spans="2:17">
      <c r="B119" s="69"/>
      <c r="C119" s="167"/>
    </row>
    <row r="120" spans="2:17">
      <c r="B120" s="69"/>
      <c r="C120" s="167"/>
    </row>
    <row r="121" spans="2:17">
      <c r="B121" s="69"/>
      <c r="C121" s="167"/>
    </row>
    <row r="122" spans="2:17">
      <c r="B122" s="69"/>
      <c r="C122" s="167"/>
    </row>
    <row r="123" spans="2:17">
      <c r="B123" s="69"/>
      <c r="C123" s="167"/>
    </row>
    <row r="124" spans="2:17">
      <c r="B124" s="69"/>
      <c r="C124" s="167"/>
    </row>
    <row r="125" spans="2:17">
      <c r="B125" s="69"/>
      <c r="C125" s="167"/>
    </row>
    <row r="126" spans="2:17">
      <c r="B126" s="69"/>
      <c r="C126" s="16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7"/>
  <sheetViews>
    <sheetView tabSelected="1" topLeftCell="L5" zoomScale="90" zoomScaleNormal="90" zoomScalePageLayoutView="90" workbookViewId="0">
      <selection activeCell="AB35" sqref="AB35"/>
    </sheetView>
  </sheetViews>
  <sheetFormatPr baseColWidth="10" defaultColWidth="8.83203125" defaultRowHeight="14" x14ac:dyDescent="0"/>
  <cols>
    <col min="1" max="1" width="4" style="35" customWidth="1"/>
    <col min="2" max="2" width="25.1640625" style="169" customWidth="1"/>
    <col min="3" max="3" width="38.5" style="69" customWidth="1"/>
    <col min="4" max="4" width="12.33203125" style="165" hidden="1" customWidth="1"/>
    <col min="5" max="5" width="16.5" style="165" hidden="1" customWidth="1"/>
    <col min="6" max="6" width="5.33203125" style="59" customWidth="1"/>
    <col min="7" max="7" width="14" style="59" customWidth="1"/>
    <col min="8" max="8" width="14.1640625" style="59" customWidth="1"/>
    <col min="9" max="9" width="4.1640625" style="59" customWidth="1"/>
    <col min="10" max="10" width="12.6640625" style="165" customWidth="1"/>
    <col min="11" max="11" width="14.33203125" style="165" customWidth="1"/>
    <col min="12" max="12" width="13.1640625" style="626" customWidth="1"/>
    <col min="13" max="13" width="12.6640625" style="165" customWidth="1"/>
    <col min="14" max="14" width="14.33203125" style="165" customWidth="1"/>
    <col min="15" max="15" width="4.5" style="677" customWidth="1"/>
    <col min="16" max="16" width="12.6640625" style="59" customWidth="1"/>
    <col min="17" max="17" width="13.6640625" style="59" customWidth="1"/>
    <col min="18" max="18" width="6" style="677" customWidth="1"/>
    <col min="19" max="19" width="12.6640625" style="165" customWidth="1"/>
    <col min="20" max="20" width="14.33203125" style="165" customWidth="1"/>
    <col min="21" max="21" width="14.33203125" style="677" customWidth="1"/>
    <col min="22" max="22" width="12.6640625" style="165" customWidth="1"/>
    <col min="23" max="23" width="14.33203125" style="165" customWidth="1"/>
    <col min="24" max="24" width="14.33203125" style="677" customWidth="1"/>
    <col min="25" max="25" width="12.6640625" style="165" customWidth="1"/>
    <col min="26" max="26" width="14.33203125" style="165" customWidth="1"/>
    <col min="27" max="27" width="8.83203125" style="174"/>
    <col min="28" max="28" width="29.33203125" style="174" customWidth="1"/>
    <col min="29" max="31" width="8.83203125" style="174"/>
    <col min="248" max="248" width="4" customWidth="1"/>
    <col min="249" max="249" width="25.1640625" customWidth="1"/>
    <col min="250" max="250" width="48.5" customWidth="1"/>
    <col min="251" max="251" width="12.33203125" customWidth="1"/>
    <col min="252" max="252" width="14.33203125" customWidth="1"/>
    <col min="253" max="253" width="9.1640625" customWidth="1"/>
    <col min="254" max="254" width="12.33203125" customWidth="1"/>
    <col min="255" max="255" width="14.33203125" customWidth="1"/>
    <col min="256" max="256" width="7.5" customWidth="1"/>
    <col min="257" max="257" width="12.33203125" customWidth="1"/>
    <col min="258" max="258" width="14.33203125" customWidth="1"/>
    <col min="259" max="259" width="7.6640625" customWidth="1"/>
    <col min="260" max="260" width="12.6640625" customWidth="1"/>
    <col min="261" max="261" width="13.6640625" customWidth="1"/>
    <col min="262" max="262" width="9.1640625" customWidth="1"/>
    <col min="263" max="263" width="12.6640625" customWidth="1"/>
    <col min="264" max="264" width="15.33203125" customWidth="1"/>
    <col min="265" max="265" width="4" customWidth="1"/>
    <col min="266" max="266" width="13.33203125" customWidth="1"/>
    <col min="504" max="504" width="4" customWidth="1"/>
    <col min="505" max="505" width="25.1640625" customWidth="1"/>
    <col min="506" max="506" width="48.5" customWidth="1"/>
    <col min="507" max="507" width="12.33203125" customWidth="1"/>
    <col min="508" max="508" width="14.33203125" customWidth="1"/>
    <col min="509" max="509" width="9.1640625" customWidth="1"/>
    <col min="510" max="510" width="12.33203125" customWidth="1"/>
    <col min="511" max="511" width="14.33203125" customWidth="1"/>
    <col min="512" max="512" width="7.5" customWidth="1"/>
    <col min="513" max="513" width="12.33203125" customWidth="1"/>
    <col min="514" max="514" width="14.33203125" customWidth="1"/>
    <col min="515" max="515" width="7.6640625" customWidth="1"/>
    <col min="516" max="516" width="12.6640625" customWidth="1"/>
    <col min="517" max="517" width="13.6640625" customWidth="1"/>
    <col min="518" max="518" width="9.1640625" customWidth="1"/>
    <col min="519" max="519" width="12.6640625" customWidth="1"/>
    <col min="520" max="520" width="15.33203125" customWidth="1"/>
    <col min="521" max="521" width="4" customWidth="1"/>
    <col min="522" max="522" width="13.33203125" customWidth="1"/>
    <col min="760" max="760" width="4" customWidth="1"/>
    <col min="761" max="761" width="25.1640625" customWidth="1"/>
    <col min="762" max="762" width="48.5" customWidth="1"/>
    <col min="763" max="763" width="12.33203125" customWidth="1"/>
    <col min="764" max="764" width="14.33203125" customWidth="1"/>
    <col min="765" max="765" width="9.1640625" customWidth="1"/>
    <col min="766" max="766" width="12.33203125" customWidth="1"/>
    <col min="767" max="767" width="14.33203125" customWidth="1"/>
    <col min="768" max="768" width="7.5" customWidth="1"/>
    <col min="769" max="769" width="12.33203125" customWidth="1"/>
    <col min="770" max="770" width="14.33203125" customWidth="1"/>
    <col min="771" max="771" width="7.6640625" customWidth="1"/>
    <col min="772" max="772" width="12.6640625" customWidth="1"/>
    <col min="773" max="773" width="13.6640625" customWidth="1"/>
    <col min="774" max="774" width="9.1640625" customWidth="1"/>
    <col min="775" max="775" width="12.6640625" customWidth="1"/>
    <col min="776" max="776" width="15.33203125" customWidth="1"/>
    <col min="777" max="777" width="4" customWidth="1"/>
    <col min="778" max="778" width="13.33203125" customWidth="1"/>
    <col min="1016" max="1016" width="4" customWidth="1"/>
    <col min="1017" max="1017" width="25.1640625" customWidth="1"/>
    <col min="1018" max="1018" width="48.5" customWidth="1"/>
    <col min="1019" max="1019" width="12.33203125" customWidth="1"/>
    <col min="1020" max="1020" width="14.33203125" customWidth="1"/>
    <col min="1021" max="1021" width="9.1640625" customWidth="1"/>
    <col min="1022" max="1022" width="12.33203125" customWidth="1"/>
    <col min="1023" max="1023" width="14.33203125" customWidth="1"/>
    <col min="1024" max="1024" width="7.5" customWidth="1"/>
    <col min="1025" max="1025" width="12.33203125" customWidth="1"/>
    <col min="1026" max="1026" width="14.33203125" customWidth="1"/>
    <col min="1027" max="1027" width="7.6640625" customWidth="1"/>
    <col min="1028" max="1028" width="12.6640625" customWidth="1"/>
    <col min="1029" max="1029" width="13.6640625" customWidth="1"/>
    <col min="1030" max="1030" width="9.1640625" customWidth="1"/>
    <col min="1031" max="1031" width="12.6640625" customWidth="1"/>
    <col min="1032" max="1032" width="15.33203125" customWidth="1"/>
    <col min="1033" max="1033" width="4" customWidth="1"/>
    <col min="1034" max="1034" width="13.33203125" customWidth="1"/>
    <col min="1272" max="1272" width="4" customWidth="1"/>
    <col min="1273" max="1273" width="25.1640625" customWidth="1"/>
    <col min="1274" max="1274" width="48.5" customWidth="1"/>
    <col min="1275" max="1275" width="12.33203125" customWidth="1"/>
    <col min="1276" max="1276" width="14.33203125" customWidth="1"/>
    <col min="1277" max="1277" width="9.1640625" customWidth="1"/>
    <col min="1278" max="1278" width="12.33203125" customWidth="1"/>
    <col min="1279" max="1279" width="14.33203125" customWidth="1"/>
    <col min="1280" max="1280" width="7.5" customWidth="1"/>
    <col min="1281" max="1281" width="12.33203125" customWidth="1"/>
    <col min="1282" max="1282" width="14.33203125" customWidth="1"/>
    <col min="1283" max="1283" width="7.6640625" customWidth="1"/>
    <col min="1284" max="1284" width="12.6640625" customWidth="1"/>
    <col min="1285" max="1285" width="13.6640625" customWidth="1"/>
    <col min="1286" max="1286" width="9.1640625" customWidth="1"/>
    <col min="1287" max="1287" width="12.6640625" customWidth="1"/>
    <col min="1288" max="1288" width="15.33203125" customWidth="1"/>
    <col min="1289" max="1289" width="4" customWidth="1"/>
    <col min="1290" max="1290" width="13.33203125" customWidth="1"/>
    <col min="1528" max="1528" width="4" customWidth="1"/>
    <col min="1529" max="1529" width="25.1640625" customWidth="1"/>
    <col min="1530" max="1530" width="48.5" customWidth="1"/>
    <col min="1531" max="1531" width="12.33203125" customWidth="1"/>
    <col min="1532" max="1532" width="14.33203125" customWidth="1"/>
    <col min="1533" max="1533" width="9.1640625" customWidth="1"/>
    <col min="1534" max="1534" width="12.33203125" customWidth="1"/>
    <col min="1535" max="1535" width="14.33203125" customWidth="1"/>
    <col min="1536" max="1536" width="7.5" customWidth="1"/>
    <col min="1537" max="1537" width="12.33203125" customWidth="1"/>
    <col min="1538" max="1538" width="14.33203125" customWidth="1"/>
    <col min="1539" max="1539" width="7.6640625" customWidth="1"/>
    <col min="1540" max="1540" width="12.6640625" customWidth="1"/>
    <col min="1541" max="1541" width="13.6640625" customWidth="1"/>
    <col min="1542" max="1542" width="9.1640625" customWidth="1"/>
    <col min="1543" max="1543" width="12.6640625" customWidth="1"/>
    <col min="1544" max="1544" width="15.33203125" customWidth="1"/>
    <col min="1545" max="1545" width="4" customWidth="1"/>
    <col min="1546" max="1546" width="13.33203125" customWidth="1"/>
    <col min="1784" max="1784" width="4" customWidth="1"/>
    <col min="1785" max="1785" width="25.1640625" customWidth="1"/>
    <col min="1786" max="1786" width="48.5" customWidth="1"/>
    <col min="1787" max="1787" width="12.33203125" customWidth="1"/>
    <col min="1788" max="1788" width="14.33203125" customWidth="1"/>
    <col min="1789" max="1789" width="9.1640625" customWidth="1"/>
    <col min="1790" max="1790" width="12.33203125" customWidth="1"/>
    <col min="1791" max="1791" width="14.33203125" customWidth="1"/>
    <col min="1792" max="1792" width="7.5" customWidth="1"/>
    <col min="1793" max="1793" width="12.33203125" customWidth="1"/>
    <col min="1794" max="1794" width="14.33203125" customWidth="1"/>
    <col min="1795" max="1795" width="7.6640625" customWidth="1"/>
    <col min="1796" max="1796" width="12.6640625" customWidth="1"/>
    <col min="1797" max="1797" width="13.6640625" customWidth="1"/>
    <col min="1798" max="1798" width="9.1640625" customWidth="1"/>
    <col min="1799" max="1799" width="12.6640625" customWidth="1"/>
    <col min="1800" max="1800" width="15.33203125" customWidth="1"/>
    <col min="1801" max="1801" width="4" customWidth="1"/>
    <col min="1802" max="1802" width="13.33203125" customWidth="1"/>
    <col min="2040" max="2040" width="4" customWidth="1"/>
    <col min="2041" max="2041" width="25.1640625" customWidth="1"/>
    <col min="2042" max="2042" width="48.5" customWidth="1"/>
    <col min="2043" max="2043" width="12.33203125" customWidth="1"/>
    <col min="2044" max="2044" width="14.33203125" customWidth="1"/>
    <col min="2045" max="2045" width="9.1640625" customWidth="1"/>
    <col min="2046" max="2046" width="12.33203125" customWidth="1"/>
    <col min="2047" max="2047" width="14.33203125" customWidth="1"/>
    <col min="2048" max="2048" width="7.5" customWidth="1"/>
    <col min="2049" max="2049" width="12.33203125" customWidth="1"/>
    <col min="2050" max="2050" width="14.33203125" customWidth="1"/>
    <col min="2051" max="2051" width="7.6640625" customWidth="1"/>
    <col min="2052" max="2052" width="12.6640625" customWidth="1"/>
    <col min="2053" max="2053" width="13.6640625" customWidth="1"/>
    <col min="2054" max="2054" width="9.1640625" customWidth="1"/>
    <col min="2055" max="2055" width="12.6640625" customWidth="1"/>
    <col min="2056" max="2056" width="15.33203125" customWidth="1"/>
    <col min="2057" max="2057" width="4" customWidth="1"/>
    <col min="2058" max="2058" width="13.33203125" customWidth="1"/>
    <col min="2296" max="2296" width="4" customWidth="1"/>
    <col min="2297" max="2297" width="25.1640625" customWidth="1"/>
    <col min="2298" max="2298" width="48.5" customWidth="1"/>
    <col min="2299" max="2299" width="12.33203125" customWidth="1"/>
    <col min="2300" max="2300" width="14.33203125" customWidth="1"/>
    <col min="2301" max="2301" width="9.1640625" customWidth="1"/>
    <col min="2302" max="2302" width="12.33203125" customWidth="1"/>
    <col min="2303" max="2303" width="14.33203125" customWidth="1"/>
    <col min="2304" max="2304" width="7.5" customWidth="1"/>
    <col min="2305" max="2305" width="12.33203125" customWidth="1"/>
    <col min="2306" max="2306" width="14.33203125" customWidth="1"/>
    <col min="2307" max="2307" width="7.6640625" customWidth="1"/>
    <col min="2308" max="2308" width="12.6640625" customWidth="1"/>
    <col min="2309" max="2309" width="13.6640625" customWidth="1"/>
    <col min="2310" max="2310" width="9.1640625" customWidth="1"/>
    <col min="2311" max="2311" width="12.6640625" customWidth="1"/>
    <col min="2312" max="2312" width="15.33203125" customWidth="1"/>
    <col min="2313" max="2313" width="4" customWidth="1"/>
    <col min="2314" max="2314" width="13.33203125" customWidth="1"/>
    <col min="2552" max="2552" width="4" customWidth="1"/>
    <col min="2553" max="2553" width="25.1640625" customWidth="1"/>
    <col min="2554" max="2554" width="48.5" customWidth="1"/>
    <col min="2555" max="2555" width="12.33203125" customWidth="1"/>
    <col min="2556" max="2556" width="14.33203125" customWidth="1"/>
    <col min="2557" max="2557" width="9.1640625" customWidth="1"/>
    <col min="2558" max="2558" width="12.33203125" customWidth="1"/>
    <col min="2559" max="2559" width="14.33203125" customWidth="1"/>
    <col min="2560" max="2560" width="7.5" customWidth="1"/>
    <col min="2561" max="2561" width="12.33203125" customWidth="1"/>
    <col min="2562" max="2562" width="14.33203125" customWidth="1"/>
    <col min="2563" max="2563" width="7.6640625" customWidth="1"/>
    <col min="2564" max="2564" width="12.6640625" customWidth="1"/>
    <col min="2565" max="2565" width="13.6640625" customWidth="1"/>
    <col min="2566" max="2566" width="9.1640625" customWidth="1"/>
    <col min="2567" max="2567" width="12.6640625" customWidth="1"/>
    <col min="2568" max="2568" width="15.33203125" customWidth="1"/>
    <col min="2569" max="2569" width="4" customWidth="1"/>
    <col min="2570" max="2570" width="13.33203125" customWidth="1"/>
    <col min="2808" max="2808" width="4" customWidth="1"/>
    <col min="2809" max="2809" width="25.1640625" customWidth="1"/>
    <col min="2810" max="2810" width="48.5" customWidth="1"/>
    <col min="2811" max="2811" width="12.33203125" customWidth="1"/>
    <col min="2812" max="2812" width="14.33203125" customWidth="1"/>
    <col min="2813" max="2813" width="9.1640625" customWidth="1"/>
    <col min="2814" max="2814" width="12.33203125" customWidth="1"/>
    <col min="2815" max="2815" width="14.33203125" customWidth="1"/>
    <col min="2816" max="2816" width="7.5" customWidth="1"/>
    <col min="2817" max="2817" width="12.33203125" customWidth="1"/>
    <col min="2818" max="2818" width="14.33203125" customWidth="1"/>
    <col min="2819" max="2819" width="7.6640625" customWidth="1"/>
    <col min="2820" max="2820" width="12.6640625" customWidth="1"/>
    <col min="2821" max="2821" width="13.6640625" customWidth="1"/>
    <col min="2822" max="2822" width="9.1640625" customWidth="1"/>
    <col min="2823" max="2823" width="12.6640625" customWidth="1"/>
    <col min="2824" max="2824" width="15.33203125" customWidth="1"/>
    <col min="2825" max="2825" width="4" customWidth="1"/>
    <col min="2826" max="2826" width="13.33203125" customWidth="1"/>
    <col min="3064" max="3064" width="4" customWidth="1"/>
    <col min="3065" max="3065" width="25.1640625" customWidth="1"/>
    <col min="3066" max="3066" width="48.5" customWidth="1"/>
    <col min="3067" max="3067" width="12.33203125" customWidth="1"/>
    <col min="3068" max="3068" width="14.33203125" customWidth="1"/>
    <col min="3069" max="3069" width="9.1640625" customWidth="1"/>
    <col min="3070" max="3070" width="12.33203125" customWidth="1"/>
    <col min="3071" max="3071" width="14.33203125" customWidth="1"/>
    <col min="3072" max="3072" width="7.5" customWidth="1"/>
    <col min="3073" max="3073" width="12.33203125" customWidth="1"/>
    <col min="3074" max="3074" width="14.33203125" customWidth="1"/>
    <col min="3075" max="3075" width="7.6640625" customWidth="1"/>
    <col min="3076" max="3076" width="12.6640625" customWidth="1"/>
    <col min="3077" max="3077" width="13.6640625" customWidth="1"/>
    <col min="3078" max="3078" width="9.1640625" customWidth="1"/>
    <col min="3079" max="3079" width="12.6640625" customWidth="1"/>
    <col min="3080" max="3080" width="15.33203125" customWidth="1"/>
    <col min="3081" max="3081" width="4" customWidth="1"/>
    <col min="3082" max="3082" width="13.33203125" customWidth="1"/>
    <col min="3320" max="3320" width="4" customWidth="1"/>
    <col min="3321" max="3321" width="25.1640625" customWidth="1"/>
    <col min="3322" max="3322" width="48.5" customWidth="1"/>
    <col min="3323" max="3323" width="12.33203125" customWidth="1"/>
    <col min="3324" max="3324" width="14.33203125" customWidth="1"/>
    <col min="3325" max="3325" width="9.1640625" customWidth="1"/>
    <col min="3326" max="3326" width="12.33203125" customWidth="1"/>
    <col min="3327" max="3327" width="14.33203125" customWidth="1"/>
    <col min="3328" max="3328" width="7.5" customWidth="1"/>
    <col min="3329" max="3329" width="12.33203125" customWidth="1"/>
    <col min="3330" max="3330" width="14.33203125" customWidth="1"/>
    <col min="3331" max="3331" width="7.6640625" customWidth="1"/>
    <col min="3332" max="3332" width="12.6640625" customWidth="1"/>
    <col min="3333" max="3333" width="13.6640625" customWidth="1"/>
    <col min="3334" max="3334" width="9.1640625" customWidth="1"/>
    <col min="3335" max="3335" width="12.6640625" customWidth="1"/>
    <col min="3336" max="3336" width="15.33203125" customWidth="1"/>
    <col min="3337" max="3337" width="4" customWidth="1"/>
    <col min="3338" max="3338" width="13.33203125" customWidth="1"/>
    <col min="3576" max="3576" width="4" customWidth="1"/>
    <col min="3577" max="3577" width="25.1640625" customWidth="1"/>
    <col min="3578" max="3578" width="48.5" customWidth="1"/>
    <col min="3579" max="3579" width="12.33203125" customWidth="1"/>
    <col min="3580" max="3580" width="14.33203125" customWidth="1"/>
    <col min="3581" max="3581" width="9.1640625" customWidth="1"/>
    <col min="3582" max="3582" width="12.33203125" customWidth="1"/>
    <col min="3583" max="3583" width="14.33203125" customWidth="1"/>
    <col min="3584" max="3584" width="7.5" customWidth="1"/>
    <col min="3585" max="3585" width="12.33203125" customWidth="1"/>
    <col min="3586" max="3586" width="14.33203125" customWidth="1"/>
    <col min="3587" max="3587" width="7.6640625" customWidth="1"/>
    <col min="3588" max="3588" width="12.6640625" customWidth="1"/>
    <col min="3589" max="3589" width="13.6640625" customWidth="1"/>
    <col min="3590" max="3590" width="9.1640625" customWidth="1"/>
    <col min="3591" max="3591" width="12.6640625" customWidth="1"/>
    <col min="3592" max="3592" width="15.33203125" customWidth="1"/>
    <col min="3593" max="3593" width="4" customWidth="1"/>
    <col min="3594" max="3594" width="13.33203125" customWidth="1"/>
    <col min="3832" max="3832" width="4" customWidth="1"/>
    <col min="3833" max="3833" width="25.1640625" customWidth="1"/>
    <col min="3834" max="3834" width="48.5" customWidth="1"/>
    <col min="3835" max="3835" width="12.33203125" customWidth="1"/>
    <col min="3836" max="3836" width="14.33203125" customWidth="1"/>
    <col min="3837" max="3837" width="9.1640625" customWidth="1"/>
    <col min="3838" max="3838" width="12.33203125" customWidth="1"/>
    <col min="3839" max="3839" width="14.33203125" customWidth="1"/>
    <col min="3840" max="3840" width="7.5" customWidth="1"/>
    <col min="3841" max="3841" width="12.33203125" customWidth="1"/>
    <col min="3842" max="3842" width="14.33203125" customWidth="1"/>
    <col min="3843" max="3843" width="7.6640625" customWidth="1"/>
    <col min="3844" max="3844" width="12.6640625" customWidth="1"/>
    <col min="3845" max="3845" width="13.6640625" customWidth="1"/>
    <col min="3846" max="3846" width="9.1640625" customWidth="1"/>
    <col min="3847" max="3847" width="12.6640625" customWidth="1"/>
    <col min="3848" max="3848" width="15.33203125" customWidth="1"/>
    <col min="3849" max="3849" width="4" customWidth="1"/>
    <col min="3850" max="3850" width="13.33203125" customWidth="1"/>
    <col min="4088" max="4088" width="4" customWidth="1"/>
    <col min="4089" max="4089" width="25.1640625" customWidth="1"/>
    <col min="4090" max="4090" width="48.5" customWidth="1"/>
    <col min="4091" max="4091" width="12.33203125" customWidth="1"/>
    <col min="4092" max="4092" width="14.33203125" customWidth="1"/>
    <col min="4093" max="4093" width="9.1640625" customWidth="1"/>
    <col min="4094" max="4094" width="12.33203125" customWidth="1"/>
    <col min="4095" max="4095" width="14.33203125" customWidth="1"/>
    <col min="4096" max="4096" width="7.5" customWidth="1"/>
    <col min="4097" max="4097" width="12.33203125" customWidth="1"/>
    <col min="4098" max="4098" width="14.33203125" customWidth="1"/>
    <col min="4099" max="4099" width="7.6640625" customWidth="1"/>
    <col min="4100" max="4100" width="12.6640625" customWidth="1"/>
    <col min="4101" max="4101" width="13.6640625" customWidth="1"/>
    <col min="4102" max="4102" width="9.1640625" customWidth="1"/>
    <col min="4103" max="4103" width="12.6640625" customWidth="1"/>
    <col min="4104" max="4104" width="15.33203125" customWidth="1"/>
    <col min="4105" max="4105" width="4" customWidth="1"/>
    <col min="4106" max="4106" width="13.33203125" customWidth="1"/>
    <col min="4344" max="4344" width="4" customWidth="1"/>
    <col min="4345" max="4345" width="25.1640625" customWidth="1"/>
    <col min="4346" max="4346" width="48.5" customWidth="1"/>
    <col min="4347" max="4347" width="12.33203125" customWidth="1"/>
    <col min="4348" max="4348" width="14.33203125" customWidth="1"/>
    <col min="4349" max="4349" width="9.1640625" customWidth="1"/>
    <col min="4350" max="4350" width="12.33203125" customWidth="1"/>
    <col min="4351" max="4351" width="14.33203125" customWidth="1"/>
    <col min="4352" max="4352" width="7.5" customWidth="1"/>
    <col min="4353" max="4353" width="12.33203125" customWidth="1"/>
    <col min="4354" max="4354" width="14.33203125" customWidth="1"/>
    <col min="4355" max="4355" width="7.6640625" customWidth="1"/>
    <col min="4356" max="4356" width="12.6640625" customWidth="1"/>
    <col min="4357" max="4357" width="13.6640625" customWidth="1"/>
    <col min="4358" max="4358" width="9.1640625" customWidth="1"/>
    <col min="4359" max="4359" width="12.6640625" customWidth="1"/>
    <col min="4360" max="4360" width="15.33203125" customWidth="1"/>
    <col min="4361" max="4361" width="4" customWidth="1"/>
    <col min="4362" max="4362" width="13.33203125" customWidth="1"/>
    <col min="4600" max="4600" width="4" customWidth="1"/>
    <col min="4601" max="4601" width="25.1640625" customWidth="1"/>
    <col min="4602" max="4602" width="48.5" customWidth="1"/>
    <col min="4603" max="4603" width="12.33203125" customWidth="1"/>
    <col min="4604" max="4604" width="14.33203125" customWidth="1"/>
    <col min="4605" max="4605" width="9.1640625" customWidth="1"/>
    <col min="4606" max="4606" width="12.33203125" customWidth="1"/>
    <col min="4607" max="4607" width="14.33203125" customWidth="1"/>
    <col min="4608" max="4608" width="7.5" customWidth="1"/>
    <col min="4609" max="4609" width="12.33203125" customWidth="1"/>
    <col min="4610" max="4610" width="14.33203125" customWidth="1"/>
    <col min="4611" max="4611" width="7.6640625" customWidth="1"/>
    <col min="4612" max="4612" width="12.6640625" customWidth="1"/>
    <col min="4613" max="4613" width="13.6640625" customWidth="1"/>
    <col min="4614" max="4614" width="9.1640625" customWidth="1"/>
    <col min="4615" max="4615" width="12.6640625" customWidth="1"/>
    <col min="4616" max="4616" width="15.33203125" customWidth="1"/>
    <col min="4617" max="4617" width="4" customWidth="1"/>
    <col min="4618" max="4618" width="13.33203125" customWidth="1"/>
    <col min="4856" max="4856" width="4" customWidth="1"/>
    <col min="4857" max="4857" width="25.1640625" customWidth="1"/>
    <col min="4858" max="4858" width="48.5" customWidth="1"/>
    <col min="4859" max="4859" width="12.33203125" customWidth="1"/>
    <col min="4860" max="4860" width="14.33203125" customWidth="1"/>
    <col min="4861" max="4861" width="9.1640625" customWidth="1"/>
    <col min="4862" max="4862" width="12.33203125" customWidth="1"/>
    <col min="4863" max="4863" width="14.33203125" customWidth="1"/>
    <col min="4864" max="4864" width="7.5" customWidth="1"/>
    <col min="4865" max="4865" width="12.33203125" customWidth="1"/>
    <col min="4866" max="4866" width="14.33203125" customWidth="1"/>
    <col min="4867" max="4867" width="7.6640625" customWidth="1"/>
    <col min="4868" max="4868" width="12.6640625" customWidth="1"/>
    <col min="4869" max="4869" width="13.6640625" customWidth="1"/>
    <col min="4870" max="4870" width="9.1640625" customWidth="1"/>
    <col min="4871" max="4871" width="12.6640625" customWidth="1"/>
    <col min="4872" max="4872" width="15.33203125" customWidth="1"/>
    <col min="4873" max="4873" width="4" customWidth="1"/>
    <col min="4874" max="4874" width="13.33203125" customWidth="1"/>
    <col min="5112" max="5112" width="4" customWidth="1"/>
    <col min="5113" max="5113" width="25.1640625" customWidth="1"/>
    <col min="5114" max="5114" width="48.5" customWidth="1"/>
    <col min="5115" max="5115" width="12.33203125" customWidth="1"/>
    <col min="5116" max="5116" width="14.33203125" customWidth="1"/>
    <col min="5117" max="5117" width="9.1640625" customWidth="1"/>
    <col min="5118" max="5118" width="12.33203125" customWidth="1"/>
    <col min="5119" max="5119" width="14.33203125" customWidth="1"/>
    <col min="5120" max="5120" width="7.5" customWidth="1"/>
    <col min="5121" max="5121" width="12.33203125" customWidth="1"/>
    <col min="5122" max="5122" width="14.33203125" customWidth="1"/>
    <col min="5123" max="5123" width="7.6640625" customWidth="1"/>
    <col min="5124" max="5124" width="12.6640625" customWidth="1"/>
    <col min="5125" max="5125" width="13.6640625" customWidth="1"/>
    <col min="5126" max="5126" width="9.1640625" customWidth="1"/>
    <col min="5127" max="5127" width="12.6640625" customWidth="1"/>
    <col min="5128" max="5128" width="15.33203125" customWidth="1"/>
    <col min="5129" max="5129" width="4" customWidth="1"/>
    <col min="5130" max="5130" width="13.33203125" customWidth="1"/>
    <col min="5368" max="5368" width="4" customWidth="1"/>
    <col min="5369" max="5369" width="25.1640625" customWidth="1"/>
    <col min="5370" max="5370" width="48.5" customWidth="1"/>
    <col min="5371" max="5371" width="12.33203125" customWidth="1"/>
    <col min="5372" max="5372" width="14.33203125" customWidth="1"/>
    <col min="5373" max="5373" width="9.1640625" customWidth="1"/>
    <col min="5374" max="5374" width="12.33203125" customWidth="1"/>
    <col min="5375" max="5375" width="14.33203125" customWidth="1"/>
    <col min="5376" max="5376" width="7.5" customWidth="1"/>
    <col min="5377" max="5377" width="12.33203125" customWidth="1"/>
    <col min="5378" max="5378" width="14.33203125" customWidth="1"/>
    <col min="5379" max="5379" width="7.6640625" customWidth="1"/>
    <col min="5380" max="5380" width="12.6640625" customWidth="1"/>
    <col min="5381" max="5381" width="13.6640625" customWidth="1"/>
    <col min="5382" max="5382" width="9.1640625" customWidth="1"/>
    <col min="5383" max="5383" width="12.6640625" customWidth="1"/>
    <col min="5384" max="5384" width="15.33203125" customWidth="1"/>
    <col min="5385" max="5385" width="4" customWidth="1"/>
    <col min="5386" max="5386" width="13.33203125" customWidth="1"/>
    <col min="5624" max="5624" width="4" customWidth="1"/>
    <col min="5625" max="5625" width="25.1640625" customWidth="1"/>
    <col min="5626" max="5626" width="48.5" customWidth="1"/>
    <col min="5627" max="5627" width="12.33203125" customWidth="1"/>
    <col min="5628" max="5628" width="14.33203125" customWidth="1"/>
    <col min="5629" max="5629" width="9.1640625" customWidth="1"/>
    <col min="5630" max="5630" width="12.33203125" customWidth="1"/>
    <col min="5631" max="5631" width="14.33203125" customWidth="1"/>
    <col min="5632" max="5632" width="7.5" customWidth="1"/>
    <col min="5633" max="5633" width="12.33203125" customWidth="1"/>
    <col min="5634" max="5634" width="14.33203125" customWidth="1"/>
    <col min="5635" max="5635" width="7.6640625" customWidth="1"/>
    <col min="5636" max="5636" width="12.6640625" customWidth="1"/>
    <col min="5637" max="5637" width="13.6640625" customWidth="1"/>
    <col min="5638" max="5638" width="9.1640625" customWidth="1"/>
    <col min="5639" max="5639" width="12.6640625" customWidth="1"/>
    <col min="5640" max="5640" width="15.33203125" customWidth="1"/>
    <col min="5641" max="5641" width="4" customWidth="1"/>
    <col min="5642" max="5642" width="13.33203125" customWidth="1"/>
    <col min="5880" max="5880" width="4" customWidth="1"/>
    <col min="5881" max="5881" width="25.1640625" customWidth="1"/>
    <col min="5882" max="5882" width="48.5" customWidth="1"/>
    <col min="5883" max="5883" width="12.33203125" customWidth="1"/>
    <col min="5884" max="5884" width="14.33203125" customWidth="1"/>
    <col min="5885" max="5885" width="9.1640625" customWidth="1"/>
    <col min="5886" max="5886" width="12.33203125" customWidth="1"/>
    <col min="5887" max="5887" width="14.33203125" customWidth="1"/>
    <col min="5888" max="5888" width="7.5" customWidth="1"/>
    <col min="5889" max="5889" width="12.33203125" customWidth="1"/>
    <col min="5890" max="5890" width="14.33203125" customWidth="1"/>
    <col min="5891" max="5891" width="7.6640625" customWidth="1"/>
    <col min="5892" max="5892" width="12.6640625" customWidth="1"/>
    <col min="5893" max="5893" width="13.6640625" customWidth="1"/>
    <col min="5894" max="5894" width="9.1640625" customWidth="1"/>
    <col min="5895" max="5895" width="12.6640625" customWidth="1"/>
    <col min="5896" max="5896" width="15.33203125" customWidth="1"/>
    <col min="5897" max="5897" width="4" customWidth="1"/>
    <col min="5898" max="5898" width="13.33203125" customWidth="1"/>
    <col min="6136" max="6136" width="4" customWidth="1"/>
    <col min="6137" max="6137" width="25.1640625" customWidth="1"/>
    <col min="6138" max="6138" width="48.5" customWidth="1"/>
    <col min="6139" max="6139" width="12.33203125" customWidth="1"/>
    <col min="6140" max="6140" width="14.33203125" customWidth="1"/>
    <col min="6141" max="6141" width="9.1640625" customWidth="1"/>
    <col min="6142" max="6142" width="12.33203125" customWidth="1"/>
    <col min="6143" max="6143" width="14.33203125" customWidth="1"/>
    <col min="6144" max="6144" width="7.5" customWidth="1"/>
    <col min="6145" max="6145" width="12.33203125" customWidth="1"/>
    <col min="6146" max="6146" width="14.33203125" customWidth="1"/>
    <col min="6147" max="6147" width="7.6640625" customWidth="1"/>
    <col min="6148" max="6148" width="12.6640625" customWidth="1"/>
    <col min="6149" max="6149" width="13.6640625" customWidth="1"/>
    <col min="6150" max="6150" width="9.1640625" customWidth="1"/>
    <col min="6151" max="6151" width="12.6640625" customWidth="1"/>
    <col min="6152" max="6152" width="15.33203125" customWidth="1"/>
    <col min="6153" max="6153" width="4" customWidth="1"/>
    <col min="6154" max="6154" width="13.33203125" customWidth="1"/>
    <col min="6392" max="6392" width="4" customWidth="1"/>
    <col min="6393" max="6393" width="25.1640625" customWidth="1"/>
    <col min="6394" max="6394" width="48.5" customWidth="1"/>
    <col min="6395" max="6395" width="12.33203125" customWidth="1"/>
    <col min="6396" max="6396" width="14.33203125" customWidth="1"/>
    <col min="6397" max="6397" width="9.1640625" customWidth="1"/>
    <col min="6398" max="6398" width="12.33203125" customWidth="1"/>
    <col min="6399" max="6399" width="14.33203125" customWidth="1"/>
    <col min="6400" max="6400" width="7.5" customWidth="1"/>
    <col min="6401" max="6401" width="12.33203125" customWidth="1"/>
    <col min="6402" max="6402" width="14.33203125" customWidth="1"/>
    <col min="6403" max="6403" width="7.6640625" customWidth="1"/>
    <col min="6404" max="6404" width="12.6640625" customWidth="1"/>
    <col min="6405" max="6405" width="13.6640625" customWidth="1"/>
    <col min="6406" max="6406" width="9.1640625" customWidth="1"/>
    <col min="6407" max="6407" width="12.6640625" customWidth="1"/>
    <col min="6408" max="6408" width="15.33203125" customWidth="1"/>
    <col min="6409" max="6409" width="4" customWidth="1"/>
    <col min="6410" max="6410" width="13.33203125" customWidth="1"/>
    <col min="6648" max="6648" width="4" customWidth="1"/>
    <col min="6649" max="6649" width="25.1640625" customWidth="1"/>
    <col min="6650" max="6650" width="48.5" customWidth="1"/>
    <col min="6651" max="6651" width="12.33203125" customWidth="1"/>
    <col min="6652" max="6652" width="14.33203125" customWidth="1"/>
    <col min="6653" max="6653" width="9.1640625" customWidth="1"/>
    <col min="6654" max="6654" width="12.33203125" customWidth="1"/>
    <col min="6655" max="6655" width="14.33203125" customWidth="1"/>
    <col min="6656" max="6656" width="7.5" customWidth="1"/>
    <col min="6657" max="6657" width="12.33203125" customWidth="1"/>
    <col min="6658" max="6658" width="14.33203125" customWidth="1"/>
    <col min="6659" max="6659" width="7.6640625" customWidth="1"/>
    <col min="6660" max="6660" width="12.6640625" customWidth="1"/>
    <col min="6661" max="6661" width="13.6640625" customWidth="1"/>
    <col min="6662" max="6662" width="9.1640625" customWidth="1"/>
    <col min="6663" max="6663" width="12.6640625" customWidth="1"/>
    <col min="6664" max="6664" width="15.33203125" customWidth="1"/>
    <col min="6665" max="6665" width="4" customWidth="1"/>
    <col min="6666" max="6666" width="13.33203125" customWidth="1"/>
    <col min="6904" max="6904" width="4" customWidth="1"/>
    <col min="6905" max="6905" width="25.1640625" customWidth="1"/>
    <col min="6906" max="6906" width="48.5" customWidth="1"/>
    <col min="6907" max="6907" width="12.33203125" customWidth="1"/>
    <col min="6908" max="6908" width="14.33203125" customWidth="1"/>
    <col min="6909" max="6909" width="9.1640625" customWidth="1"/>
    <col min="6910" max="6910" width="12.33203125" customWidth="1"/>
    <col min="6911" max="6911" width="14.33203125" customWidth="1"/>
    <col min="6912" max="6912" width="7.5" customWidth="1"/>
    <col min="6913" max="6913" width="12.33203125" customWidth="1"/>
    <col min="6914" max="6914" width="14.33203125" customWidth="1"/>
    <col min="6915" max="6915" width="7.6640625" customWidth="1"/>
    <col min="6916" max="6916" width="12.6640625" customWidth="1"/>
    <col min="6917" max="6917" width="13.6640625" customWidth="1"/>
    <col min="6918" max="6918" width="9.1640625" customWidth="1"/>
    <col min="6919" max="6919" width="12.6640625" customWidth="1"/>
    <col min="6920" max="6920" width="15.33203125" customWidth="1"/>
    <col min="6921" max="6921" width="4" customWidth="1"/>
    <col min="6922" max="6922" width="13.33203125" customWidth="1"/>
    <col min="7160" max="7160" width="4" customWidth="1"/>
    <col min="7161" max="7161" width="25.1640625" customWidth="1"/>
    <col min="7162" max="7162" width="48.5" customWidth="1"/>
    <col min="7163" max="7163" width="12.33203125" customWidth="1"/>
    <col min="7164" max="7164" width="14.33203125" customWidth="1"/>
    <col min="7165" max="7165" width="9.1640625" customWidth="1"/>
    <col min="7166" max="7166" width="12.33203125" customWidth="1"/>
    <col min="7167" max="7167" width="14.33203125" customWidth="1"/>
    <col min="7168" max="7168" width="7.5" customWidth="1"/>
    <col min="7169" max="7169" width="12.33203125" customWidth="1"/>
    <col min="7170" max="7170" width="14.33203125" customWidth="1"/>
    <col min="7171" max="7171" width="7.6640625" customWidth="1"/>
    <col min="7172" max="7172" width="12.6640625" customWidth="1"/>
    <col min="7173" max="7173" width="13.6640625" customWidth="1"/>
    <col min="7174" max="7174" width="9.1640625" customWidth="1"/>
    <col min="7175" max="7175" width="12.6640625" customWidth="1"/>
    <col min="7176" max="7176" width="15.33203125" customWidth="1"/>
    <col min="7177" max="7177" width="4" customWidth="1"/>
    <col min="7178" max="7178" width="13.33203125" customWidth="1"/>
    <col min="7416" max="7416" width="4" customWidth="1"/>
    <col min="7417" max="7417" width="25.1640625" customWidth="1"/>
    <col min="7418" max="7418" width="48.5" customWidth="1"/>
    <col min="7419" max="7419" width="12.33203125" customWidth="1"/>
    <col min="7420" max="7420" width="14.33203125" customWidth="1"/>
    <col min="7421" max="7421" width="9.1640625" customWidth="1"/>
    <col min="7422" max="7422" width="12.33203125" customWidth="1"/>
    <col min="7423" max="7423" width="14.33203125" customWidth="1"/>
    <col min="7424" max="7424" width="7.5" customWidth="1"/>
    <col min="7425" max="7425" width="12.33203125" customWidth="1"/>
    <col min="7426" max="7426" width="14.33203125" customWidth="1"/>
    <col min="7427" max="7427" width="7.6640625" customWidth="1"/>
    <col min="7428" max="7428" width="12.6640625" customWidth="1"/>
    <col min="7429" max="7429" width="13.6640625" customWidth="1"/>
    <col min="7430" max="7430" width="9.1640625" customWidth="1"/>
    <col min="7431" max="7431" width="12.6640625" customWidth="1"/>
    <col min="7432" max="7432" width="15.33203125" customWidth="1"/>
    <col min="7433" max="7433" width="4" customWidth="1"/>
    <col min="7434" max="7434" width="13.33203125" customWidth="1"/>
    <col min="7672" max="7672" width="4" customWidth="1"/>
    <col min="7673" max="7673" width="25.1640625" customWidth="1"/>
    <col min="7674" max="7674" width="48.5" customWidth="1"/>
    <col min="7675" max="7675" width="12.33203125" customWidth="1"/>
    <col min="7676" max="7676" width="14.33203125" customWidth="1"/>
    <col min="7677" max="7677" width="9.1640625" customWidth="1"/>
    <col min="7678" max="7678" width="12.33203125" customWidth="1"/>
    <col min="7679" max="7679" width="14.33203125" customWidth="1"/>
    <col min="7680" max="7680" width="7.5" customWidth="1"/>
    <col min="7681" max="7681" width="12.33203125" customWidth="1"/>
    <col min="7682" max="7682" width="14.33203125" customWidth="1"/>
    <col min="7683" max="7683" width="7.6640625" customWidth="1"/>
    <col min="7684" max="7684" width="12.6640625" customWidth="1"/>
    <col min="7685" max="7685" width="13.6640625" customWidth="1"/>
    <col min="7686" max="7686" width="9.1640625" customWidth="1"/>
    <col min="7687" max="7687" width="12.6640625" customWidth="1"/>
    <col min="7688" max="7688" width="15.33203125" customWidth="1"/>
    <col min="7689" max="7689" width="4" customWidth="1"/>
    <col min="7690" max="7690" width="13.33203125" customWidth="1"/>
    <col min="7928" max="7928" width="4" customWidth="1"/>
    <col min="7929" max="7929" width="25.1640625" customWidth="1"/>
    <col min="7930" max="7930" width="48.5" customWidth="1"/>
    <col min="7931" max="7931" width="12.33203125" customWidth="1"/>
    <col min="7932" max="7932" width="14.33203125" customWidth="1"/>
    <col min="7933" max="7933" width="9.1640625" customWidth="1"/>
    <col min="7934" max="7934" width="12.33203125" customWidth="1"/>
    <col min="7935" max="7935" width="14.33203125" customWidth="1"/>
    <col min="7936" max="7936" width="7.5" customWidth="1"/>
    <col min="7937" max="7937" width="12.33203125" customWidth="1"/>
    <col min="7938" max="7938" width="14.33203125" customWidth="1"/>
    <col min="7939" max="7939" width="7.6640625" customWidth="1"/>
    <col min="7940" max="7940" width="12.6640625" customWidth="1"/>
    <col min="7941" max="7941" width="13.6640625" customWidth="1"/>
    <col min="7942" max="7942" width="9.1640625" customWidth="1"/>
    <col min="7943" max="7943" width="12.6640625" customWidth="1"/>
    <col min="7944" max="7944" width="15.33203125" customWidth="1"/>
    <col min="7945" max="7945" width="4" customWidth="1"/>
    <col min="7946" max="7946" width="13.33203125" customWidth="1"/>
    <col min="8184" max="8184" width="4" customWidth="1"/>
    <col min="8185" max="8185" width="25.1640625" customWidth="1"/>
    <col min="8186" max="8186" width="48.5" customWidth="1"/>
    <col min="8187" max="8187" width="12.33203125" customWidth="1"/>
    <col min="8188" max="8188" width="14.33203125" customWidth="1"/>
    <col min="8189" max="8189" width="9.1640625" customWidth="1"/>
    <col min="8190" max="8190" width="12.33203125" customWidth="1"/>
    <col min="8191" max="8191" width="14.33203125" customWidth="1"/>
    <col min="8192" max="8192" width="7.5" customWidth="1"/>
    <col min="8193" max="8193" width="12.33203125" customWidth="1"/>
    <col min="8194" max="8194" width="14.33203125" customWidth="1"/>
    <col min="8195" max="8195" width="7.6640625" customWidth="1"/>
    <col min="8196" max="8196" width="12.6640625" customWidth="1"/>
    <col min="8197" max="8197" width="13.6640625" customWidth="1"/>
    <col min="8198" max="8198" width="9.1640625" customWidth="1"/>
    <col min="8199" max="8199" width="12.6640625" customWidth="1"/>
    <col min="8200" max="8200" width="15.33203125" customWidth="1"/>
    <col min="8201" max="8201" width="4" customWidth="1"/>
    <col min="8202" max="8202" width="13.33203125" customWidth="1"/>
    <col min="8440" max="8440" width="4" customWidth="1"/>
    <col min="8441" max="8441" width="25.1640625" customWidth="1"/>
    <col min="8442" max="8442" width="48.5" customWidth="1"/>
    <col min="8443" max="8443" width="12.33203125" customWidth="1"/>
    <col min="8444" max="8444" width="14.33203125" customWidth="1"/>
    <col min="8445" max="8445" width="9.1640625" customWidth="1"/>
    <col min="8446" max="8446" width="12.33203125" customWidth="1"/>
    <col min="8447" max="8447" width="14.33203125" customWidth="1"/>
    <col min="8448" max="8448" width="7.5" customWidth="1"/>
    <col min="8449" max="8449" width="12.33203125" customWidth="1"/>
    <col min="8450" max="8450" width="14.33203125" customWidth="1"/>
    <col min="8451" max="8451" width="7.6640625" customWidth="1"/>
    <col min="8452" max="8452" width="12.6640625" customWidth="1"/>
    <col min="8453" max="8453" width="13.6640625" customWidth="1"/>
    <col min="8454" max="8454" width="9.1640625" customWidth="1"/>
    <col min="8455" max="8455" width="12.6640625" customWidth="1"/>
    <col min="8456" max="8456" width="15.33203125" customWidth="1"/>
    <col min="8457" max="8457" width="4" customWidth="1"/>
    <col min="8458" max="8458" width="13.33203125" customWidth="1"/>
    <col min="8696" max="8696" width="4" customWidth="1"/>
    <col min="8697" max="8697" width="25.1640625" customWidth="1"/>
    <col min="8698" max="8698" width="48.5" customWidth="1"/>
    <col min="8699" max="8699" width="12.33203125" customWidth="1"/>
    <col min="8700" max="8700" width="14.33203125" customWidth="1"/>
    <col min="8701" max="8701" width="9.1640625" customWidth="1"/>
    <col min="8702" max="8702" width="12.33203125" customWidth="1"/>
    <col min="8703" max="8703" width="14.33203125" customWidth="1"/>
    <col min="8704" max="8704" width="7.5" customWidth="1"/>
    <col min="8705" max="8705" width="12.33203125" customWidth="1"/>
    <col min="8706" max="8706" width="14.33203125" customWidth="1"/>
    <col min="8707" max="8707" width="7.6640625" customWidth="1"/>
    <col min="8708" max="8708" width="12.6640625" customWidth="1"/>
    <col min="8709" max="8709" width="13.6640625" customWidth="1"/>
    <col min="8710" max="8710" width="9.1640625" customWidth="1"/>
    <col min="8711" max="8711" width="12.6640625" customWidth="1"/>
    <col min="8712" max="8712" width="15.33203125" customWidth="1"/>
    <col min="8713" max="8713" width="4" customWidth="1"/>
    <col min="8714" max="8714" width="13.33203125" customWidth="1"/>
    <col min="8952" max="8952" width="4" customWidth="1"/>
    <col min="8953" max="8953" width="25.1640625" customWidth="1"/>
    <col min="8954" max="8954" width="48.5" customWidth="1"/>
    <col min="8955" max="8955" width="12.33203125" customWidth="1"/>
    <col min="8956" max="8956" width="14.33203125" customWidth="1"/>
    <col min="8957" max="8957" width="9.1640625" customWidth="1"/>
    <col min="8958" max="8958" width="12.33203125" customWidth="1"/>
    <col min="8959" max="8959" width="14.33203125" customWidth="1"/>
    <col min="8960" max="8960" width="7.5" customWidth="1"/>
    <col min="8961" max="8961" width="12.33203125" customWidth="1"/>
    <col min="8962" max="8962" width="14.33203125" customWidth="1"/>
    <col min="8963" max="8963" width="7.6640625" customWidth="1"/>
    <col min="8964" max="8964" width="12.6640625" customWidth="1"/>
    <col min="8965" max="8965" width="13.6640625" customWidth="1"/>
    <col min="8966" max="8966" width="9.1640625" customWidth="1"/>
    <col min="8967" max="8967" width="12.6640625" customWidth="1"/>
    <col min="8968" max="8968" width="15.33203125" customWidth="1"/>
    <col min="8969" max="8969" width="4" customWidth="1"/>
    <col min="8970" max="8970" width="13.33203125" customWidth="1"/>
    <col min="9208" max="9208" width="4" customWidth="1"/>
    <col min="9209" max="9209" width="25.1640625" customWidth="1"/>
    <col min="9210" max="9210" width="48.5" customWidth="1"/>
    <col min="9211" max="9211" width="12.33203125" customWidth="1"/>
    <col min="9212" max="9212" width="14.33203125" customWidth="1"/>
    <col min="9213" max="9213" width="9.1640625" customWidth="1"/>
    <col min="9214" max="9214" width="12.33203125" customWidth="1"/>
    <col min="9215" max="9215" width="14.33203125" customWidth="1"/>
    <col min="9216" max="9216" width="7.5" customWidth="1"/>
    <col min="9217" max="9217" width="12.33203125" customWidth="1"/>
    <col min="9218" max="9218" width="14.33203125" customWidth="1"/>
    <col min="9219" max="9219" width="7.6640625" customWidth="1"/>
    <col min="9220" max="9220" width="12.6640625" customWidth="1"/>
    <col min="9221" max="9221" width="13.6640625" customWidth="1"/>
    <col min="9222" max="9222" width="9.1640625" customWidth="1"/>
    <col min="9223" max="9223" width="12.6640625" customWidth="1"/>
    <col min="9224" max="9224" width="15.33203125" customWidth="1"/>
    <col min="9225" max="9225" width="4" customWidth="1"/>
    <col min="9226" max="9226" width="13.33203125" customWidth="1"/>
    <col min="9464" max="9464" width="4" customWidth="1"/>
    <col min="9465" max="9465" width="25.1640625" customWidth="1"/>
    <col min="9466" max="9466" width="48.5" customWidth="1"/>
    <col min="9467" max="9467" width="12.33203125" customWidth="1"/>
    <col min="9468" max="9468" width="14.33203125" customWidth="1"/>
    <col min="9469" max="9469" width="9.1640625" customWidth="1"/>
    <col min="9470" max="9470" width="12.33203125" customWidth="1"/>
    <col min="9471" max="9471" width="14.33203125" customWidth="1"/>
    <col min="9472" max="9472" width="7.5" customWidth="1"/>
    <col min="9473" max="9473" width="12.33203125" customWidth="1"/>
    <col min="9474" max="9474" width="14.33203125" customWidth="1"/>
    <col min="9475" max="9475" width="7.6640625" customWidth="1"/>
    <col min="9476" max="9476" width="12.6640625" customWidth="1"/>
    <col min="9477" max="9477" width="13.6640625" customWidth="1"/>
    <col min="9478" max="9478" width="9.1640625" customWidth="1"/>
    <col min="9479" max="9479" width="12.6640625" customWidth="1"/>
    <col min="9480" max="9480" width="15.33203125" customWidth="1"/>
    <col min="9481" max="9481" width="4" customWidth="1"/>
    <col min="9482" max="9482" width="13.33203125" customWidth="1"/>
    <col min="9720" max="9720" width="4" customWidth="1"/>
    <col min="9721" max="9721" width="25.1640625" customWidth="1"/>
    <col min="9722" max="9722" width="48.5" customWidth="1"/>
    <col min="9723" max="9723" width="12.33203125" customWidth="1"/>
    <col min="9724" max="9724" width="14.33203125" customWidth="1"/>
    <col min="9725" max="9725" width="9.1640625" customWidth="1"/>
    <col min="9726" max="9726" width="12.33203125" customWidth="1"/>
    <col min="9727" max="9727" width="14.33203125" customWidth="1"/>
    <col min="9728" max="9728" width="7.5" customWidth="1"/>
    <col min="9729" max="9729" width="12.33203125" customWidth="1"/>
    <col min="9730" max="9730" width="14.33203125" customWidth="1"/>
    <col min="9731" max="9731" width="7.6640625" customWidth="1"/>
    <col min="9732" max="9732" width="12.6640625" customWidth="1"/>
    <col min="9733" max="9733" width="13.6640625" customWidth="1"/>
    <col min="9734" max="9734" width="9.1640625" customWidth="1"/>
    <col min="9735" max="9735" width="12.6640625" customWidth="1"/>
    <col min="9736" max="9736" width="15.33203125" customWidth="1"/>
    <col min="9737" max="9737" width="4" customWidth="1"/>
    <col min="9738" max="9738" width="13.33203125" customWidth="1"/>
    <col min="9976" max="9976" width="4" customWidth="1"/>
    <col min="9977" max="9977" width="25.1640625" customWidth="1"/>
    <col min="9978" max="9978" width="48.5" customWidth="1"/>
    <col min="9979" max="9979" width="12.33203125" customWidth="1"/>
    <col min="9980" max="9980" width="14.33203125" customWidth="1"/>
    <col min="9981" max="9981" width="9.1640625" customWidth="1"/>
    <col min="9982" max="9982" width="12.33203125" customWidth="1"/>
    <col min="9983" max="9983" width="14.33203125" customWidth="1"/>
    <col min="9984" max="9984" width="7.5" customWidth="1"/>
    <col min="9985" max="9985" width="12.33203125" customWidth="1"/>
    <col min="9986" max="9986" width="14.33203125" customWidth="1"/>
    <col min="9987" max="9987" width="7.6640625" customWidth="1"/>
    <col min="9988" max="9988" width="12.6640625" customWidth="1"/>
    <col min="9989" max="9989" width="13.6640625" customWidth="1"/>
    <col min="9990" max="9990" width="9.1640625" customWidth="1"/>
    <col min="9991" max="9991" width="12.6640625" customWidth="1"/>
    <col min="9992" max="9992" width="15.33203125" customWidth="1"/>
    <col min="9993" max="9993" width="4" customWidth="1"/>
    <col min="9994" max="9994" width="13.33203125" customWidth="1"/>
    <col min="10232" max="10232" width="4" customWidth="1"/>
    <col min="10233" max="10233" width="25.1640625" customWidth="1"/>
    <col min="10234" max="10234" width="48.5" customWidth="1"/>
    <col min="10235" max="10235" width="12.33203125" customWidth="1"/>
    <col min="10236" max="10236" width="14.33203125" customWidth="1"/>
    <col min="10237" max="10237" width="9.1640625" customWidth="1"/>
    <col min="10238" max="10238" width="12.33203125" customWidth="1"/>
    <col min="10239" max="10239" width="14.33203125" customWidth="1"/>
    <col min="10240" max="10240" width="7.5" customWidth="1"/>
    <col min="10241" max="10241" width="12.33203125" customWidth="1"/>
    <col min="10242" max="10242" width="14.33203125" customWidth="1"/>
    <col min="10243" max="10243" width="7.6640625" customWidth="1"/>
    <col min="10244" max="10244" width="12.6640625" customWidth="1"/>
    <col min="10245" max="10245" width="13.6640625" customWidth="1"/>
    <col min="10246" max="10246" width="9.1640625" customWidth="1"/>
    <col min="10247" max="10247" width="12.6640625" customWidth="1"/>
    <col min="10248" max="10248" width="15.33203125" customWidth="1"/>
    <col min="10249" max="10249" width="4" customWidth="1"/>
    <col min="10250" max="10250" width="13.33203125" customWidth="1"/>
    <col min="10488" max="10488" width="4" customWidth="1"/>
    <col min="10489" max="10489" width="25.1640625" customWidth="1"/>
    <col min="10490" max="10490" width="48.5" customWidth="1"/>
    <col min="10491" max="10491" width="12.33203125" customWidth="1"/>
    <col min="10492" max="10492" width="14.33203125" customWidth="1"/>
    <col min="10493" max="10493" width="9.1640625" customWidth="1"/>
    <col min="10494" max="10494" width="12.33203125" customWidth="1"/>
    <col min="10495" max="10495" width="14.33203125" customWidth="1"/>
    <col min="10496" max="10496" width="7.5" customWidth="1"/>
    <col min="10497" max="10497" width="12.33203125" customWidth="1"/>
    <col min="10498" max="10498" width="14.33203125" customWidth="1"/>
    <col min="10499" max="10499" width="7.6640625" customWidth="1"/>
    <col min="10500" max="10500" width="12.6640625" customWidth="1"/>
    <col min="10501" max="10501" width="13.6640625" customWidth="1"/>
    <col min="10502" max="10502" width="9.1640625" customWidth="1"/>
    <col min="10503" max="10503" width="12.6640625" customWidth="1"/>
    <col min="10504" max="10504" width="15.33203125" customWidth="1"/>
    <col min="10505" max="10505" width="4" customWidth="1"/>
    <col min="10506" max="10506" width="13.33203125" customWidth="1"/>
    <col min="10744" max="10744" width="4" customWidth="1"/>
    <col min="10745" max="10745" width="25.1640625" customWidth="1"/>
    <col min="10746" max="10746" width="48.5" customWidth="1"/>
    <col min="10747" max="10747" width="12.33203125" customWidth="1"/>
    <col min="10748" max="10748" width="14.33203125" customWidth="1"/>
    <col min="10749" max="10749" width="9.1640625" customWidth="1"/>
    <col min="10750" max="10750" width="12.33203125" customWidth="1"/>
    <col min="10751" max="10751" width="14.33203125" customWidth="1"/>
    <col min="10752" max="10752" width="7.5" customWidth="1"/>
    <col min="10753" max="10753" width="12.33203125" customWidth="1"/>
    <col min="10754" max="10754" width="14.33203125" customWidth="1"/>
    <col min="10755" max="10755" width="7.6640625" customWidth="1"/>
    <col min="10756" max="10756" width="12.6640625" customWidth="1"/>
    <col min="10757" max="10757" width="13.6640625" customWidth="1"/>
    <col min="10758" max="10758" width="9.1640625" customWidth="1"/>
    <col min="10759" max="10759" width="12.6640625" customWidth="1"/>
    <col min="10760" max="10760" width="15.33203125" customWidth="1"/>
    <col min="10761" max="10761" width="4" customWidth="1"/>
    <col min="10762" max="10762" width="13.33203125" customWidth="1"/>
    <col min="11000" max="11000" width="4" customWidth="1"/>
    <col min="11001" max="11001" width="25.1640625" customWidth="1"/>
    <col min="11002" max="11002" width="48.5" customWidth="1"/>
    <col min="11003" max="11003" width="12.33203125" customWidth="1"/>
    <col min="11004" max="11004" width="14.33203125" customWidth="1"/>
    <col min="11005" max="11005" width="9.1640625" customWidth="1"/>
    <col min="11006" max="11006" width="12.33203125" customWidth="1"/>
    <col min="11007" max="11007" width="14.33203125" customWidth="1"/>
    <col min="11008" max="11008" width="7.5" customWidth="1"/>
    <col min="11009" max="11009" width="12.33203125" customWidth="1"/>
    <col min="11010" max="11010" width="14.33203125" customWidth="1"/>
    <col min="11011" max="11011" width="7.6640625" customWidth="1"/>
    <col min="11012" max="11012" width="12.6640625" customWidth="1"/>
    <col min="11013" max="11013" width="13.6640625" customWidth="1"/>
    <col min="11014" max="11014" width="9.1640625" customWidth="1"/>
    <col min="11015" max="11015" width="12.6640625" customWidth="1"/>
    <col min="11016" max="11016" width="15.33203125" customWidth="1"/>
    <col min="11017" max="11017" width="4" customWidth="1"/>
    <col min="11018" max="11018" width="13.33203125" customWidth="1"/>
    <col min="11256" max="11256" width="4" customWidth="1"/>
    <col min="11257" max="11257" width="25.1640625" customWidth="1"/>
    <col min="11258" max="11258" width="48.5" customWidth="1"/>
    <col min="11259" max="11259" width="12.33203125" customWidth="1"/>
    <col min="11260" max="11260" width="14.33203125" customWidth="1"/>
    <col min="11261" max="11261" width="9.1640625" customWidth="1"/>
    <col min="11262" max="11262" width="12.33203125" customWidth="1"/>
    <col min="11263" max="11263" width="14.33203125" customWidth="1"/>
    <col min="11264" max="11264" width="7.5" customWidth="1"/>
    <col min="11265" max="11265" width="12.33203125" customWidth="1"/>
    <col min="11266" max="11266" width="14.33203125" customWidth="1"/>
    <col min="11267" max="11267" width="7.6640625" customWidth="1"/>
    <col min="11268" max="11268" width="12.6640625" customWidth="1"/>
    <col min="11269" max="11269" width="13.6640625" customWidth="1"/>
    <col min="11270" max="11270" width="9.1640625" customWidth="1"/>
    <col min="11271" max="11271" width="12.6640625" customWidth="1"/>
    <col min="11272" max="11272" width="15.33203125" customWidth="1"/>
    <col min="11273" max="11273" width="4" customWidth="1"/>
    <col min="11274" max="11274" width="13.33203125" customWidth="1"/>
    <col min="11512" max="11512" width="4" customWidth="1"/>
    <col min="11513" max="11513" width="25.1640625" customWidth="1"/>
    <col min="11514" max="11514" width="48.5" customWidth="1"/>
    <col min="11515" max="11515" width="12.33203125" customWidth="1"/>
    <col min="11516" max="11516" width="14.33203125" customWidth="1"/>
    <col min="11517" max="11517" width="9.1640625" customWidth="1"/>
    <col min="11518" max="11518" width="12.33203125" customWidth="1"/>
    <col min="11519" max="11519" width="14.33203125" customWidth="1"/>
    <col min="11520" max="11520" width="7.5" customWidth="1"/>
    <col min="11521" max="11521" width="12.33203125" customWidth="1"/>
    <col min="11522" max="11522" width="14.33203125" customWidth="1"/>
    <col min="11523" max="11523" width="7.6640625" customWidth="1"/>
    <col min="11524" max="11524" width="12.6640625" customWidth="1"/>
    <col min="11525" max="11525" width="13.6640625" customWidth="1"/>
    <col min="11526" max="11526" width="9.1640625" customWidth="1"/>
    <col min="11527" max="11527" width="12.6640625" customWidth="1"/>
    <col min="11528" max="11528" width="15.33203125" customWidth="1"/>
    <col min="11529" max="11529" width="4" customWidth="1"/>
    <col min="11530" max="11530" width="13.33203125" customWidth="1"/>
    <col min="11768" max="11768" width="4" customWidth="1"/>
    <col min="11769" max="11769" width="25.1640625" customWidth="1"/>
    <col min="11770" max="11770" width="48.5" customWidth="1"/>
    <col min="11771" max="11771" width="12.33203125" customWidth="1"/>
    <col min="11772" max="11772" width="14.33203125" customWidth="1"/>
    <col min="11773" max="11773" width="9.1640625" customWidth="1"/>
    <col min="11774" max="11774" width="12.33203125" customWidth="1"/>
    <col min="11775" max="11775" width="14.33203125" customWidth="1"/>
    <col min="11776" max="11776" width="7.5" customWidth="1"/>
    <col min="11777" max="11777" width="12.33203125" customWidth="1"/>
    <col min="11778" max="11778" width="14.33203125" customWidth="1"/>
    <col min="11779" max="11779" width="7.6640625" customWidth="1"/>
    <col min="11780" max="11780" width="12.6640625" customWidth="1"/>
    <col min="11781" max="11781" width="13.6640625" customWidth="1"/>
    <col min="11782" max="11782" width="9.1640625" customWidth="1"/>
    <col min="11783" max="11783" width="12.6640625" customWidth="1"/>
    <col min="11784" max="11784" width="15.33203125" customWidth="1"/>
    <col min="11785" max="11785" width="4" customWidth="1"/>
    <col min="11786" max="11786" width="13.33203125" customWidth="1"/>
    <col min="12024" max="12024" width="4" customWidth="1"/>
    <col min="12025" max="12025" width="25.1640625" customWidth="1"/>
    <col min="12026" max="12026" width="48.5" customWidth="1"/>
    <col min="12027" max="12027" width="12.33203125" customWidth="1"/>
    <col min="12028" max="12028" width="14.33203125" customWidth="1"/>
    <col min="12029" max="12029" width="9.1640625" customWidth="1"/>
    <col min="12030" max="12030" width="12.33203125" customWidth="1"/>
    <col min="12031" max="12031" width="14.33203125" customWidth="1"/>
    <col min="12032" max="12032" width="7.5" customWidth="1"/>
    <col min="12033" max="12033" width="12.33203125" customWidth="1"/>
    <col min="12034" max="12034" width="14.33203125" customWidth="1"/>
    <col min="12035" max="12035" width="7.6640625" customWidth="1"/>
    <col min="12036" max="12036" width="12.6640625" customWidth="1"/>
    <col min="12037" max="12037" width="13.6640625" customWidth="1"/>
    <col min="12038" max="12038" width="9.1640625" customWidth="1"/>
    <col min="12039" max="12039" width="12.6640625" customWidth="1"/>
    <col min="12040" max="12040" width="15.33203125" customWidth="1"/>
    <col min="12041" max="12041" width="4" customWidth="1"/>
    <col min="12042" max="12042" width="13.33203125" customWidth="1"/>
    <col min="12280" max="12280" width="4" customWidth="1"/>
    <col min="12281" max="12281" width="25.1640625" customWidth="1"/>
    <col min="12282" max="12282" width="48.5" customWidth="1"/>
    <col min="12283" max="12283" width="12.33203125" customWidth="1"/>
    <col min="12284" max="12284" width="14.33203125" customWidth="1"/>
    <col min="12285" max="12285" width="9.1640625" customWidth="1"/>
    <col min="12286" max="12286" width="12.33203125" customWidth="1"/>
    <col min="12287" max="12287" width="14.33203125" customWidth="1"/>
    <col min="12288" max="12288" width="7.5" customWidth="1"/>
    <col min="12289" max="12289" width="12.33203125" customWidth="1"/>
    <col min="12290" max="12290" width="14.33203125" customWidth="1"/>
    <col min="12291" max="12291" width="7.6640625" customWidth="1"/>
    <col min="12292" max="12292" width="12.6640625" customWidth="1"/>
    <col min="12293" max="12293" width="13.6640625" customWidth="1"/>
    <col min="12294" max="12294" width="9.1640625" customWidth="1"/>
    <col min="12295" max="12295" width="12.6640625" customWidth="1"/>
    <col min="12296" max="12296" width="15.33203125" customWidth="1"/>
    <col min="12297" max="12297" width="4" customWidth="1"/>
    <col min="12298" max="12298" width="13.33203125" customWidth="1"/>
    <col min="12536" max="12536" width="4" customWidth="1"/>
    <col min="12537" max="12537" width="25.1640625" customWidth="1"/>
    <col min="12538" max="12538" width="48.5" customWidth="1"/>
    <col min="12539" max="12539" width="12.33203125" customWidth="1"/>
    <col min="12540" max="12540" width="14.33203125" customWidth="1"/>
    <col min="12541" max="12541" width="9.1640625" customWidth="1"/>
    <col min="12542" max="12542" width="12.33203125" customWidth="1"/>
    <col min="12543" max="12543" width="14.33203125" customWidth="1"/>
    <col min="12544" max="12544" width="7.5" customWidth="1"/>
    <col min="12545" max="12545" width="12.33203125" customWidth="1"/>
    <col min="12546" max="12546" width="14.33203125" customWidth="1"/>
    <col min="12547" max="12547" width="7.6640625" customWidth="1"/>
    <col min="12548" max="12548" width="12.6640625" customWidth="1"/>
    <col min="12549" max="12549" width="13.6640625" customWidth="1"/>
    <col min="12550" max="12550" width="9.1640625" customWidth="1"/>
    <col min="12551" max="12551" width="12.6640625" customWidth="1"/>
    <col min="12552" max="12552" width="15.33203125" customWidth="1"/>
    <col min="12553" max="12553" width="4" customWidth="1"/>
    <col min="12554" max="12554" width="13.33203125" customWidth="1"/>
    <col min="12792" max="12792" width="4" customWidth="1"/>
    <col min="12793" max="12793" width="25.1640625" customWidth="1"/>
    <col min="12794" max="12794" width="48.5" customWidth="1"/>
    <col min="12795" max="12795" width="12.33203125" customWidth="1"/>
    <col min="12796" max="12796" width="14.33203125" customWidth="1"/>
    <col min="12797" max="12797" width="9.1640625" customWidth="1"/>
    <col min="12798" max="12798" width="12.33203125" customWidth="1"/>
    <col min="12799" max="12799" width="14.33203125" customWidth="1"/>
    <col min="12800" max="12800" width="7.5" customWidth="1"/>
    <col min="12801" max="12801" width="12.33203125" customWidth="1"/>
    <col min="12802" max="12802" width="14.33203125" customWidth="1"/>
    <col min="12803" max="12803" width="7.6640625" customWidth="1"/>
    <col min="12804" max="12804" width="12.6640625" customWidth="1"/>
    <col min="12805" max="12805" width="13.6640625" customWidth="1"/>
    <col min="12806" max="12806" width="9.1640625" customWidth="1"/>
    <col min="12807" max="12807" width="12.6640625" customWidth="1"/>
    <col min="12808" max="12808" width="15.33203125" customWidth="1"/>
    <col min="12809" max="12809" width="4" customWidth="1"/>
    <col min="12810" max="12810" width="13.33203125" customWidth="1"/>
    <col min="13048" max="13048" width="4" customWidth="1"/>
    <col min="13049" max="13049" width="25.1640625" customWidth="1"/>
    <col min="13050" max="13050" width="48.5" customWidth="1"/>
    <col min="13051" max="13051" width="12.33203125" customWidth="1"/>
    <col min="13052" max="13052" width="14.33203125" customWidth="1"/>
    <col min="13053" max="13053" width="9.1640625" customWidth="1"/>
    <col min="13054" max="13054" width="12.33203125" customWidth="1"/>
    <col min="13055" max="13055" width="14.33203125" customWidth="1"/>
    <col min="13056" max="13056" width="7.5" customWidth="1"/>
    <col min="13057" max="13057" width="12.33203125" customWidth="1"/>
    <col min="13058" max="13058" width="14.33203125" customWidth="1"/>
    <col min="13059" max="13059" width="7.6640625" customWidth="1"/>
    <col min="13060" max="13060" width="12.6640625" customWidth="1"/>
    <col min="13061" max="13061" width="13.6640625" customWidth="1"/>
    <col min="13062" max="13062" width="9.1640625" customWidth="1"/>
    <col min="13063" max="13063" width="12.6640625" customWidth="1"/>
    <col min="13064" max="13064" width="15.33203125" customWidth="1"/>
    <col min="13065" max="13065" width="4" customWidth="1"/>
    <col min="13066" max="13066" width="13.33203125" customWidth="1"/>
    <col min="13304" max="13304" width="4" customWidth="1"/>
    <col min="13305" max="13305" width="25.1640625" customWidth="1"/>
    <col min="13306" max="13306" width="48.5" customWidth="1"/>
    <col min="13307" max="13307" width="12.33203125" customWidth="1"/>
    <col min="13308" max="13308" width="14.33203125" customWidth="1"/>
    <col min="13309" max="13309" width="9.1640625" customWidth="1"/>
    <col min="13310" max="13310" width="12.33203125" customWidth="1"/>
    <col min="13311" max="13311" width="14.33203125" customWidth="1"/>
    <col min="13312" max="13312" width="7.5" customWidth="1"/>
    <col min="13313" max="13313" width="12.33203125" customWidth="1"/>
    <col min="13314" max="13314" width="14.33203125" customWidth="1"/>
    <col min="13315" max="13315" width="7.6640625" customWidth="1"/>
    <col min="13316" max="13316" width="12.6640625" customWidth="1"/>
    <col min="13317" max="13317" width="13.6640625" customWidth="1"/>
    <col min="13318" max="13318" width="9.1640625" customWidth="1"/>
    <col min="13319" max="13319" width="12.6640625" customWidth="1"/>
    <col min="13320" max="13320" width="15.33203125" customWidth="1"/>
    <col min="13321" max="13321" width="4" customWidth="1"/>
    <col min="13322" max="13322" width="13.33203125" customWidth="1"/>
    <col min="13560" max="13560" width="4" customWidth="1"/>
    <col min="13561" max="13561" width="25.1640625" customWidth="1"/>
    <col min="13562" max="13562" width="48.5" customWidth="1"/>
    <col min="13563" max="13563" width="12.33203125" customWidth="1"/>
    <col min="13564" max="13564" width="14.33203125" customWidth="1"/>
    <col min="13565" max="13565" width="9.1640625" customWidth="1"/>
    <col min="13566" max="13566" width="12.33203125" customWidth="1"/>
    <col min="13567" max="13567" width="14.33203125" customWidth="1"/>
    <col min="13568" max="13568" width="7.5" customWidth="1"/>
    <col min="13569" max="13569" width="12.33203125" customWidth="1"/>
    <col min="13570" max="13570" width="14.33203125" customWidth="1"/>
    <col min="13571" max="13571" width="7.6640625" customWidth="1"/>
    <col min="13572" max="13572" width="12.6640625" customWidth="1"/>
    <col min="13573" max="13573" width="13.6640625" customWidth="1"/>
    <col min="13574" max="13574" width="9.1640625" customWidth="1"/>
    <col min="13575" max="13575" width="12.6640625" customWidth="1"/>
    <col min="13576" max="13576" width="15.33203125" customWidth="1"/>
    <col min="13577" max="13577" width="4" customWidth="1"/>
    <col min="13578" max="13578" width="13.33203125" customWidth="1"/>
    <col min="13816" max="13816" width="4" customWidth="1"/>
    <col min="13817" max="13817" width="25.1640625" customWidth="1"/>
    <col min="13818" max="13818" width="48.5" customWidth="1"/>
    <col min="13819" max="13819" width="12.33203125" customWidth="1"/>
    <col min="13820" max="13820" width="14.33203125" customWidth="1"/>
    <col min="13821" max="13821" width="9.1640625" customWidth="1"/>
    <col min="13822" max="13822" width="12.33203125" customWidth="1"/>
    <col min="13823" max="13823" width="14.33203125" customWidth="1"/>
    <col min="13824" max="13824" width="7.5" customWidth="1"/>
    <col min="13825" max="13825" width="12.33203125" customWidth="1"/>
    <col min="13826" max="13826" width="14.33203125" customWidth="1"/>
    <col min="13827" max="13827" width="7.6640625" customWidth="1"/>
    <col min="13828" max="13828" width="12.6640625" customWidth="1"/>
    <col min="13829" max="13829" width="13.6640625" customWidth="1"/>
    <col min="13830" max="13830" width="9.1640625" customWidth="1"/>
    <col min="13831" max="13831" width="12.6640625" customWidth="1"/>
    <col min="13832" max="13832" width="15.33203125" customWidth="1"/>
    <col min="13833" max="13833" width="4" customWidth="1"/>
    <col min="13834" max="13834" width="13.33203125" customWidth="1"/>
    <col min="14072" max="14072" width="4" customWidth="1"/>
    <col min="14073" max="14073" width="25.1640625" customWidth="1"/>
    <col min="14074" max="14074" width="48.5" customWidth="1"/>
    <col min="14075" max="14075" width="12.33203125" customWidth="1"/>
    <col min="14076" max="14076" width="14.33203125" customWidth="1"/>
    <col min="14077" max="14077" width="9.1640625" customWidth="1"/>
    <col min="14078" max="14078" width="12.33203125" customWidth="1"/>
    <col min="14079" max="14079" width="14.33203125" customWidth="1"/>
    <col min="14080" max="14080" width="7.5" customWidth="1"/>
    <col min="14081" max="14081" width="12.33203125" customWidth="1"/>
    <col min="14082" max="14082" width="14.33203125" customWidth="1"/>
    <col min="14083" max="14083" width="7.6640625" customWidth="1"/>
    <col min="14084" max="14084" width="12.6640625" customWidth="1"/>
    <col min="14085" max="14085" width="13.6640625" customWidth="1"/>
    <col min="14086" max="14086" width="9.1640625" customWidth="1"/>
    <col min="14087" max="14087" width="12.6640625" customWidth="1"/>
    <col min="14088" max="14088" width="15.33203125" customWidth="1"/>
    <col min="14089" max="14089" width="4" customWidth="1"/>
    <col min="14090" max="14090" width="13.33203125" customWidth="1"/>
    <col min="14328" max="14328" width="4" customWidth="1"/>
    <col min="14329" max="14329" width="25.1640625" customWidth="1"/>
    <col min="14330" max="14330" width="48.5" customWidth="1"/>
    <col min="14331" max="14331" width="12.33203125" customWidth="1"/>
    <col min="14332" max="14332" width="14.33203125" customWidth="1"/>
    <col min="14333" max="14333" width="9.1640625" customWidth="1"/>
    <col min="14334" max="14334" width="12.33203125" customWidth="1"/>
    <col min="14335" max="14335" width="14.33203125" customWidth="1"/>
    <col min="14336" max="14336" width="7.5" customWidth="1"/>
    <col min="14337" max="14337" width="12.33203125" customWidth="1"/>
    <col min="14338" max="14338" width="14.33203125" customWidth="1"/>
    <col min="14339" max="14339" width="7.6640625" customWidth="1"/>
    <col min="14340" max="14340" width="12.6640625" customWidth="1"/>
    <col min="14341" max="14341" width="13.6640625" customWidth="1"/>
    <col min="14342" max="14342" width="9.1640625" customWidth="1"/>
    <col min="14343" max="14343" width="12.6640625" customWidth="1"/>
    <col min="14344" max="14344" width="15.33203125" customWidth="1"/>
    <col min="14345" max="14345" width="4" customWidth="1"/>
    <col min="14346" max="14346" width="13.33203125" customWidth="1"/>
    <col min="14584" max="14584" width="4" customWidth="1"/>
    <col min="14585" max="14585" width="25.1640625" customWidth="1"/>
    <col min="14586" max="14586" width="48.5" customWidth="1"/>
    <col min="14587" max="14587" width="12.33203125" customWidth="1"/>
    <col min="14588" max="14588" width="14.33203125" customWidth="1"/>
    <col min="14589" max="14589" width="9.1640625" customWidth="1"/>
    <col min="14590" max="14590" width="12.33203125" customWidth="1"/>
    <col min="14591" max="14591" width="14.33203125" customWidth="1"/>
    <col min="14592" max="14592" width="7.5" customWidth="1"/>
    <col min="14593" max="14593" width="12.33203125" customWidth="1"/>
    <col min="14594" max="14594" width="14.33203125" customWidth="1"/>
    <col min="14595" max="14595" width="7.6640625" customWidth="1"/>
    <col min="14596" max="14596" width="12.6640625" customWidth="1"/>
    <col min="14597" max="14597" width="13.6640625" customWidth="1"/>
    <col min="14598" max="14598" width="9.1640625" customWidth="1"/>
    <col min="14599" max="14599" width="12.6640625" customWidth="1"/>
    <col min="14600" max="14600" width="15.33203125" customWidth="1"/>
    <col min="14601" max="14601" width="4" customWidth="1"/>
    <col min="14602" max="14602" width="13.33203125" customWidth="1"/>
    <col min="14840" max="14840" width="4" customWidth="1"/>
    <col min="14841" max="14841" width="25.1640625" customWidth="1"/>
    <col min="14842" max="14842" width="48.5" customWidth="1"/>
    <col min="14843" max="14843" width="12.33203125" customWidth="1"/>
    <col min="14844" max="14844" width="14.33203125" customWidth="1"/>
    <col min="14845" max="14845" width="9.1640625" customWidth="1"/>
    <col min="14846" max="14846" width="12.33203125" customWidth="1"/>
    <col min="14847" max="14847" width="14.33203125" customWidth="1"/>
    <col min="14848" max="14848" width="7.5" customWidth="1"/>
    <col min="14849" max="14849" width="12.33203125" customWidth="1"/>
    <col min="14850" max="14850" width="14.33203125" customWidth="1"/>
    <col min="14851" max="14851" width="7.6640625" customWidth="1"/>
    <col min="14852" max="14852" width="12.6640625" customWidth="1"/>
    <col min="14853" max="14853" width="13.6640625" customWidth="1"/>
    <col min="14854" max="14854" width="9.1640625" customWidth="1"/>
    <col min="14855" max="14855" width="12.6640625" customWidth="1"/>
    <col min="14856" max="14856" width="15.33203125" customWidth="1"/>
    <col min="14857" max="14857" width="4" customWidth="1"/>
    <col min="14858" max="14858" width="13.33203125" customWidth="1"/>
    <col min="15096" max="15096" width="4" customWidth="1"/>
    <col min="15097" max="15097" width="25.1640625" customWidth="1"/>
    <col min="15098" max="15098" width="48.5" customWidth="1"/>
    <col min="15099" max="15099" width="12.33203125" customWidth="1"/>
    <col min="15100" max="15100" width="14.33203125" customWidth="1"/>
    <col min="15101" max="15101" width="9.1640625" customWidth="1"/>
    <col min="15102" max="15102" width="12.33203125" customWidth="1"/>
    <col min="15103" max="15103" width="14.33203125" customWidth="1"/>
    <col min="15104" max="15104" width="7.5" customWidth="1"/>
    <col min="15105" max="15105" width="12.33203125" customWidth="1"/>
    <col min="15106" max="15106" width="14.33203125" customWidth="1"/>
    <col min="15107" max="15107" width="7.6640625" customWidth="1"/>
    <col min="15108" max="15108" width="12.6640625" customWidth="1"/>
    <col min="15109" max="15109" width="13.6640625" customWidth="1"/>
    <col min="15110" max="15110" width="9.1640625" customWidth="1"/>
    <col min="15111" max="15111" width="12.6640625" customWidth="1"/>
    <col min="15112" max="15112" width="15.33203125" customWidth="1"/>
    <col min="15113" max="15113" width="4" customWidth="1"/>
    <col min="15114" max="15114" width="13.33203125" customWidth="1"/>
    <col min="15352" max="15352" width="4" customWidth="1"/>
    <col min="15353" max="15353" width="25.1640625" customWidth="1"/>
    <col min="15354" max="15354" width="48.5" customWidth="1"/>
    <col min="15355" max="15355" width="12.33203125" customWidth="1"/>
    <col min="15356" max="15356" width="14.33203125" customWidth="1"/>
    <col min="15357" max="15357" width="9.1640625" customWidth="1"/>
    <col min="15358" max="15358" width="12.33203125" customWidth="1"/>
    <col min="15359" max="15359" width="14.33203125" customWidth="1"/>
    <col min="15360" max="15360" width="7.5" customWidth="1"/>
    <col min="15361" max="15361" width="12.33203125" customWidth="1"/>
    <col min="15362" max="15362" width="14.33203125" customWidth="1"/>
    <col min="15363" max="15363" width="7.6640625" customWidth="1"/>
    <col min="15364" max="15364" width="12.6640625" customWidth="1"/>
    <col min="15365" max="15365" width="13.6640625" customWidth="1"/>
    <col min="15366" max="15366" width="9.1640625" customWidth="1"/>
    <col min="15367" max="15367" width="12.6640625" customWidth="1"/>
    <col min="15368" max="15368" width="15.33203125" customWidth="1"/>
    <col min="15369" max="15369" width="4" customWidth="1"/>
    <col min="15370" max="15370" width="13.33203125" customWidth="1"/>
    <col min="15608" max="15608" width="4" customWidth="1"/>
    <col min="15609" max="15609" width="25.1640625" customWidth="1"/>
    <col min="15610" max="15610" width="48.5" customWidth="1"/>
    <col min="15611" max="15611" width="12.33203125" customWidth="1"/>
    <col min="15612" max="15612" width="14.33203125" customWidth="1"/>
    <col min="15613" max="15613" width="9.1640625" customWidth="1"/>
    <col min="15614" max="15614" width="12.33203125" customWidth="1"/>
    <col min="15615" max="15615" width="14.33203125" customWidth="1"/>
    <col min="15616" max="15616" width="7.5" customWidth="1"/>
    <col min="15617" max="15617" width="12.33203125" customWidth="1"/>
    <col min="15618" max="15618" width="14.33203125" customWidth="1"/>
    <col min="15619" max="15619" width="7.6640625" customWidth="1"/>
    <col min="15620" max="15620" width="12.6640625" customWidth="1"/>
    <col min="15621" max="15621" width="13.6640625" customWidth="1"/>
    <col min="15622" max="15622" width="9.1640625" customWidth="1"/>
    <col min="15623" max="15623" width="12.6640625" customWidth="1"/>
    <col min="15624" max="15624" width="15.33203125" customWidth="1"/>
    <col min="15625" max="15625" width="4" customWidth="1"/>
    <col min="15626" max="15626" width="13.33203125" customWidth="1"/>
    <col min="15864" max="15864" width="4" customWidth="1"/>
    <col min="15865" max="15865" width="25.1640625" customWidth="1"/>
    <col min="15866" max="15866" width="48.5" customWidth="1"/>
    <col min="15867" max="15867" width="12.33203125" customWidth="1"/>
    <col min="15868" max="15868" width="14.33203125" customWidth="1"/>
    <col min="15869" max="15869" width="9.1640625" customWidth="1"/>
    <col min="15870" max="15870" width="12.33203125" customWidth="1"/>
    <col min="15871" max="15871" width="14.33203125" customWidth="1"/>
    <col min="15872" max="15872" width="7.5" customWidth="1"/>
    <col min="15873" max="15873" width="12.33203125" customWidth="1"/>
    <col min="15874" max="15874" width="14.33203125" customWidth="1"/>
    <col min="15875" max="15875" width="7.6640625" customWidth="1"/>
    <col min="15876" max="15876" width="12.6640625" customWidth="1"/>
    <col min="15877" max="15877" width="13.6640625" customWidth="1"/>
    <col min="15878" max="15878" width="9.1640625" customWidth="1"/>
    <col min="15879" max="15879" width="12.6640625" customWidth="1"/>
    <col min="15880" max="15880" width="15.33203125" customWidth="1"/>
    <col min="15881" max="15881" width="4" customWidth="1"/>
    <col min="15882" max="15882" width="13.33203125" customWidth="1"/>
    <col min="16120" max="16120" width="4" customWidth="1"/>
    <col min="16121" max="16121" width="25.1640625" customWidth="1"/>
    <col min="16122" max="16122" width="48.5" customWidth="1"/>
    <col min="16123" max="16123" width="12.33203125" customWidth="1"/>
    <col min="16124" max="16124" width="14.33203125" customWidth="1"/>
    <col min="16125" max="16125" width="9.1640625" customWidth="1"/>
    <col min="16126" max="16126" width="12.33203125" customWidth="1"/>
    <col min="16127" max="16127" width="14.33203125" customWidth="1"/>
    <col min="16128" max="16128" width="7.5" customWidth="1"/>
    <col min="16129" max="16129" width="12.33203125" customWidth="1"/>
    <col min="16130" max="16130" width="14.33203125" customWidth="1"/>
    <col min="16131" max="16131" width="7.6640625" customWidth="1"/>
    <col min="16132" max="16132" width="12.6640625" customWidth="1"/>
    <col min="16133" max="16133" width="13.6640625" customWidth="1"/>
    <col min="16134" max="16134" width="9.1640625" customWidth="1"/>
    <col min="16135" max="16135" width="12.6640625" customWidth="1"/>
    <col min="16136" max="16136" width="15.33203125" customWidth="1"/>
    <col min="16137" max="16137" width="4" customWidth="1"/>
    <col min="16138" max="16138" width="13.33203125" customWidth="1"/>
  </cols>
  <sheetData>
    <row r="1" spans="1:31" ht="18" thickBot="1">
      <c r="A1" s="35">
        <v>1</v>
      </c>
      <c r="B1" s="608" t="s">
        <v>210</v>
      </c>
      <c r="C1" s="609"/>
      <c r="D1" s="39"/>
      <c r="E1" s="39"/>
      <c r="F1" s="39"/>
      <c r="G1" s="40"/>
      <c r="H1" s="41"/>
      <c r="I1" s="39"/>
      <c r="J1" s="651" t="s">
        <v>225</v>
      </c>
      <c r="K1" s="39"/>
      <c r="M1" s="651" t="s">
        <v>226</v>
      </c>
      <c r="N1" s="39"/>
      <c r="O1" s="155"/>
      <c r="P1" s="686" t="s">
        <v>235</v>
      </c>
      <c r="Q1" s="41"/>
      <c r="R1" s="155"/>
      <c r="S1" s="651" t="s">
        <v>229</v>
      </c>
      <c r="T1" s="39"/>
      <c r="U1" s="155"/>
      <c r="V1" s="651" t="s">
        <v>229</v>
      </c>
      <c r="W1" s="39"/>
      <c r="X1" s="155"/>
      <c r="Y1" s="651" t="s">
        <v>229</v>
      </c>
      <c r="Z1" s="39"/>
    </row>
    <row r="2" spans="1:31" ht="18" thickBot="1">
      <c r="A2" s="35">
        <f>+A1+1</f>
        <v>2</v>
      </c>
      <c r="B2" s="43"/>
      <c r="C2" s="44"/>
      <c r="D2" s="645" t="s">
        <v>96</v>
      </c>
      <c r="E2" s="646"/>
      <c r="F2" s="39"/>
      <c r="G2" s="634" t="s">
        <v>223</v>
      </c>
      <c r="H2" s="635"/>
      <c r="I2" s="39"/>
      <c r="J2" s="636" t="s">
        <v>224</v>
      </c>
      <c r="K2" s="637"/>
      <c r="M2" s="636" t="s">
        <v>222</v>
      </c>
      <c r="N2" s="655"/>
      <c r="O2" s="155"/>
      <c r="P2" s="48" t="s">
        <v>23</v>
      </c>
      <c r="Q2" s="49"/>
      <c r="R2" s="155"/>
      <c r="S2" s="678" t="s">
        <v>230</v>
      </c>
      <c r="T2" s="655"/>
      <c r="U2" s="155"/>
      <c r="V2" s="678" t="s">
        <v>230</v>
      </c>
      <c r="W2" s="655"/>
      <c r="X2" s="155"/>
      <c r="Y2" s="678" t="s">
        <v>230</v>
      </c>
      <c r="Z2" s="637"/>
    </row>
    <row r="3" spans="1:31" ht="18" thickBot="1">
      <c r="A3" s="35">
        <f t="shared" ref="A3:A66" si="0">+A2+1</f>
        <v>3</v>
      </c>
      <c r="B3" s="51"/>
      <c r="C3" s="100"/>
      <c r="D3" s="631" t="s">
        <v>187</v>
      </c>
      <c r="E3" s="632"/>
      <c r="F3" s="644"/>
      <c r="G3" s="631" t="s">
        <v>190</v>
      </c>
      <c r="H3" s="633"/>
      <c r="I3" s="55"/>
      <c r="J3" s="631" t="s">
        <v>211</v>
      </c>
      <c r="K3" s="632"/>
      <c r="M3" s="631" t="s">
        <v>211</v>
      </c>
      <c r="N3" s="656"/>
      <c r="O3" s="57"/>
      <c r="P3" s="53" t="s">
        <v>234</v>
      </c>
      <c r="Q3" s="58"/>
      <c r="R3" s="57"/>
      <c r="S3" s="679" t="s">
        <v>231</v>
      </c>
      <c r="T3" s="680"/>
      <c r="U3" s="57"/>
      <c r="V3" s="679" t="s">
        <v>232</v>
      </c>
      <c r="W3" s="680"/>
      <c r="X3" s="57"/>
      <c r="Y3" s="679" t="s">
        <v>233</v>
      </c>
      <c r="Z3" s="681"/>
    </row>
    <row r="4" spans="1:31" s="70" customFormat="1" ht="13" thickBot="1">
      <c r="A4" s="35">
        <f t="shared" si="0"/>
        <v>4</v>
      </c>
      <c r="B4" s="560" t="s">
        <v>25</v>
      </c>
      <c r="C4" s="638"/>
      <c r="D4" s="61"/>
      <c r="E4" s="61" t="s">
        <v>26</v>
      </c>
      <c r="F4" s="62"/>
      <c r="G4" s="66"/>
      <c r="H4" s="66"/>
      <c r="I4" s="62"/>
      <c r="J4" s="63"/>
      <c r="K4" s="63"/>
      <c r="L4" s="627"/>
      <c r="M4" s="63"/>
      <c r="N4" s="103"/>
      <c r="O4" s="80"/>
      <c r="P4" s="66"/>
      <c r="Q4" s="66"/>
      <c r="R4" s="80"/>
      <c r="S4" s="669"/>
      <c r="T4" s="103"/>
      <c r="U4" s="80"/>
      <c r="V4" s="669"/>
      <c r="W4" s="103"/>
      <c r="X4" s="80"/>
      <c r="Y4" s="669"/>
      <c r="Z4" s="63"/>
      <c r="AA4" s="179"/>
      <c r="AB4" s="179"/>
      <c r="AC4" s="179"/>
      <c r="AD4" s="179"/>
      <c r="AE4" s="179"/>
    </row>
    <row r="5" spans="1:31" s="70" customFormat="1" ht="12">
      <c r="A5" s="35">
        <f t="shared" si="0"/>
        <v>5</v>
      </c>
      <c r="B5" s="71" t="s">
        <v>214</v>
      </c>
      <c r="C5" s="100"/>
      <c r="D5" s="61"/>
      <c r="E5" s="586">
        <v>50000</v>
      </c>
      <c r="F5" s="72"/>
      <c r="G5" s="77"/>
      <c r="H5" s="586">
        <f>79200+450</f>
        <v>79650</v>
      </c>
      <c r="I5" s="72"/>
      <c r="J5" s="653"/>
      <c r="K5" s="586">
        <v>60000</v>
      </c>
      <c r="L5" s="627"/>
      <c r="M5" s="73"/>
      <c r="N5" s="659">
        <v>70000</v>
      </c>
      <c r="O5" s="74"/>
      <c r="P5" s="77"/>
      <c r="Q5" s="586" t="e">
        <f>+#REF!</f>
        <v>#REF!</v>
      </c>
      <c r="R5" s="74"/>
      <c r="S5" s="670"/>
      <c r="T5" s="659">
        <v>85000</v>
      </c>
      <c r="U5" s="74"/>
      <c r="V5" s="670"/>
      <c r="W5" s="659">
        <v>100000</v>
      </c>
      <c r="X5" s="74"/>
      <c r="Y5" s="670"/>
      <c r="Z5" s="586">
        <v>100000</v>
      </c>
      <c r="AA5" s="179"/>
      <c r="AB5" s="179"/>
      <c r="AC5" s="179"/>
      <c r="AD5" s="179"/>
      <c r="AE5" s="179"/>
    </row>
    <row r="6" spans="1:31" s="70" customFormat="1" ht="12">
      <c r="A6" s="35">
        <f t="shared" si="0"/>
        <v>6</v>
      </c>
      <c r="B6" s="79"/>
      <c r="C6" s="100"/>
      <c r="D6" s="61"/>
      <c r="E6" s="61"/>
      <c r="F6" s="62"/>
      <c r="G6" s="66"/>
      <c r="H6" s="66"/>
      <c r="I6" s="62"/>
      <c r="J6" s="63"/>
      <c r="K6" s="63"/>
      <c r="L6" s="627"/>
      <c r="M6" s="63"/>
      <c r="N6" s="103"/>
      <c r="O6" s="80"/>
      <c r="P6" s="66"/>
      <c r="Q6" s="66"/>
      <c r="R6" s="80"/>
      <c r="S6" s="669"/>
      <c r="T6" s="103"/>
      <c r="U6" s="80"/>
      <c r="V6" s="669"/>
      <c r="W6" s="103"/>
      <c r="X6" s="80"/>
      <c r="Y6" s="669"/>
      <c r="Z6" s="63"/>
      <c r="AA6" s="179"/>
      <c r="AB6" s="179"/>
      <c r="AC6" s="179"/>
      <c r="AD6" s="179"/>
      <c r="AE6" s="179"/>
    </row>
    <row r="7" spans="1:31" s="70" customFormat="1" ht="12">
      <c r="A7" s="35">
        <f t="shared" si="0"/>
        <v>7</v>
      </c>
      <c r="B7" s="79" t="s">
        <v>3</v>
      </c>
      <c r="C7" s="100"/>
      <c r="D7" s="61"/>
      <c r="E7" s="587">
        <f>SUM(D8:D12)</f>
        <v>51425</v>
      </c>
      <c r="F7" s="81"/>
      <c r="G7" s="85"/>
      <c r="H7" s="587">
        <f>SUM(G8:G14)</f>
        <v>71994</v>
      </c>
      <c r="I7" s="81"/>
      <c r="J7" s="562"/>
      <c r="K7" s="587">
        <f>SUM(J8:J13)</f>
        <v>30000</v>
      </c>
      <c r="L7" s="627"/>
      <c r="M7" s="562"/>
      <c r="N7" s="660">
        <f>SUM(M8:M13)</f>
        <v>50569</v>
      </c>
      <c r="O7" s="676"/>
      <c r="P7" s="85"/>
      <c r="Q7" s="587" t="e">
        <f>SUM(P8:P14)</f>
        <v>#REF!</v>
      </c>
      <c r="R7" s="676"/>
      <c r="S7" s="671"/>
      <c r="T7" s="660">
        <f>SUM(S8:S13)</f>
        <v>45000</v>
      </c>
      <c r="U7" s="676"/>
      <c r="V7" s="671"/>
      <c r="W7" s="660">
        <f>SUM(V8:V13)</f>
        <v>15000</v>
      </c>
      <c r="X7" s="676"/>
      <c r="Y7" s="671"/>
      <c r="Z7" s="587">
        <f>SUM(Y8:Y13)</f>
        <v>15000</v>
      </c>
      <c r="AA7" s="179"/>
      <c r="AB7" s="179"/>
      <c r="AC7" s="179"/>
      <c r="AD7" s="179"/>
      <c r="AE7" s="179"/>
    </row>
    <row r="8" spans="1:31" s="70" customFormat="1" ht="12">
      <c r="A8" s="35">
        <f t="shared" si="0"/>
        <v>8</v>
      </c>
      <c r="B8" s="86"/>
      <c r="C8" s="100" t="s">
        <v>28</v>
      </c>
      <c r="D8" s="61">
        <v>15000</v>
      </c>
      <c r="E8" s="61"/>
      <c r="F8" s="62"/>
      <c r="G8" s="66">
        <v>15000</v>
      </c>
      <c r="H8" s="66"/>
      <c r="I8" s="62"/>
      <c r="J8" s="63">
        <v>15000</v>
      </c>
      <c r="K8" s="63"/>
      <c r="L8" s="627"/>
      <c r="M8" s="63">
        <v>15000</v>
      </c>
      <c r="N8" s="103"/>
      <c r="O8" s="80"/>
      <c r="P8" s="66" t="e">
        <f>+#REF!</f>
        <v>#REF!</v>
      </c>
      <c r="Q8" s="66"/>
      <c r="R8" s="80"/>
      <c r="S8" s="669">
        <v>15000</v>
      </c>
      <c r="T8" s="103"/>
      <c r="U8" s="80"/>
      <c r="V8" s="669">
        <v>15000</v>
      </c>
      <c r="W8" s="103"/>
      <c r="X8" s="80"/>
      <c r="Y8" s="669">
        <v>15000</v>
      </c>
      <c r="Z8" s="63"/>
      <c r="AA8" s="179"/>
      <c r="AB8" s="179"/>
      <c r="AC8" s="179"/>
      <c r="AD8" s="179"/>
      <c r="AE8" s="179"/>
    </row>
    <row r="9" spans="1:31" s="70" customFormat="1" ht="12">
      <c r="A9" s="35">
        <f t="shared" si="0"/>
        <v>9</v>
      </c>
      <c r="B9" s="86"/>
      <c r="C9" s="153" t="s">
        <v>158</v>
      </c>
      <c r="D9" s="61">
        <v>36425</v>
      </c>
      <c r="E9" s="61"/>
      <c r="F9" s="62"/>
      <c r="G9" s="66">
        <v>36425</v>
      </c>
      <c r="H9" s="66"/>
      <c r="I9" s="62"/>
      <c r="J9" s="63"/>
      <c r="K9" s="63"/>
      <c r="L9" s="627"/>
      <c r="M9" s="63">
        <v>31907</v>
      </c>
      <c r="N9" s="103"/>
      <c r="O9" s="80"/>
      <c r="P9" s="66" t="e">
        <f>+#REF!</f>
        <v>#REF!</v>
      </c>
      <c r="Q9" s="66"/>
      <c r="R9" s="80"/>
      <c r="S9" s="669"/>
      <c r="T9" s="103"/>
      <c r="U9" s="80"/>
      <c r="V9" s="669"/>
      <c r="W9" s="103"/>
      <c r="X9" s="80"/>
      <c r="Y9" s="669"/>
      <c r="Z9" s="63"/>
      <c r="AA9" s="179"/>
      <c r="AB9" s="179"/>
      <c r="AC9" s="179"/>
      <c r="AD9" s="179"/>
      <c r="AE9" s="179"/>
    </row>
    <row r="10" spans="1:31" s="70" customFormat="1" ht="12">
      <c r="A10" s="35">
        <f t="shared" si="0"/>
        <v>10</v>
      </c>
      <c r="B10" s="86"/>
      <c r="C10" s="239" t="s">
        <v>212</v>
      </c>
      <c r="D10" s="61"/>
      <c r="E10" s="61"/>
      <c r="F10" s="62"/>
      <c r="G10" s="66"/>
      <c r="H10" s="66"/>
      <c r="I10" s="62"/>
      <c r="J10" s="63">
        <v>15000</v>
      </c>
      <c r="K10" s="63"/>
      <c r="L10" s="627"/>
      <c r="M10" s="63">
        <v>3662</v>
      </c>
      <c r="N10" s="103"/>
      <c r="O10" s="80"/>
      <c r="P10" s="66" t="e">
        <f>+#REF!</f>
        <v>#REF!</v>
      </c>
      <c r="Q10" s="66"/>
      <c r="R10" s="80"/>
      <c r="S10" s="669"/>
      <c r="T10" s="103"/>
      <c r="U10" s="80"/>
      <c r="V10" s="669"/>
      <c r="W10" s="103"/>
      <c r="X10" s="80"/>
      <c r="Y10" s="669"/>
      <c r="Z10" s="63"/>
      <c r="AA10" s="179"/>
      <c r="AB10" s="179"/>
      <c r="AC10" s="179"/>
      <c r="AD10" s="179"/>
      <c r="AE10" s="179"/>
    </row>
    <row r="11" spans="1:31" s="70" customFormat="1" ht="12">
      <c r="A11" s="35">
        <f t="shared" si="0"/>
        <v>11</v>
      </c>
      <c r="B11" s="86"/>
      <c r="C11" s="239" t="s">
        <v>192</v>
      </c>
      <c r="D11" s="61"/>
      <c r="E11" s="61"/>
      <c r="F11" s="62"/>
      <c r="G11" s="66">
        <v>9933</v>
      </c>
      <c r="H11" s="66"/>
      <c r="I11" s="62"/>
      <c r="J11" s="63"/>
      <c r="K11" s="63"/>
      <c r="L11" s="627"/>
      <c r="M11" s="63"/>
      <c r="N11" s="103"/>
      <c r="O11" s="80"/>
      <c r="P11" s="66" t="e">
        <f>+#REF!</f>
        <v>#REF!</v>
      </c>
      <c r="Q11" s="66"/>
      <c r="R11" s="80"/>
      <c r="S11" s="669">
        <v>30000</v>
      </c>
      <c r="T11" s="103"/>
      <c r="U11" s="80"/>
      <c r="V11" s="669"/>
      <c r="W11" s="103"/>
      <c r="X11" s="80"/>
      <c r="Y11" s="669"/>
      <c r="Z11" s="63"/>
      <c r="AA11" s="179"/>
      <c r="AB11" s="179"/>
      <c r="AC11" s="179"/>
      <c r="AD11" s="179"/>
      <c r="AE11" s="179"/>
    </row>
    <row r="12" spans="1:31" s="70" customFormat="1" ht="12">
      <c r="A12" s="35">
        <f t="shared" si="0"/>
        <v>12</v>
      </c>
      <c r="B12" s="86"/>
      <c r="C12" s="100" t="s">
        <v>193</v>
      </c>
      <c r="D12" s="61"/>
      <c r="E12" s="61"/>
      <c r="F12" s="62"/>
      <c r="G12" s="66">
        <f>1152+1941+50</f>
        <v>3143</v>
      </c>
      <c r="H12" s="66"/>
      <c r="I12" s="62"/>
      <c r="J12" s="63"/>
      <c r="K12" s="63"/>
      <c r="L12" s="627"/>
      <c r="M12" s="63"/>
      <c r="N12" s="103"/>
      <c r="O12" s="80"/>
      <c r="P12" s="66" t="e">
        <f>+#REF!</f>
        <v>#REF!</v>
      </c>
      <c r="Q12" s="66"/>
      <c r="R12" s="80"/>
      <c r="S12" s="669"/>
      <c r="T12" s="103"/>
      <c r="U12" s="80"/>
      <c r="V12" s="669"/>
      <c r="W12" s="103"/>
      <c r="X12" s="80"/>
      <c r="Y12" s="669"/>
      <c r="Z12" s="63"/>
      <c r="AA12" s="179"/>
      <c r="AB12" s="179"/>
      <c r="AC12" s="179"/>
      <c r="AD12" s="179"/>
      <c r="AE12" s="179"/>
    </row>
    <row r="13" spans="1:31" s="70" customFormat="1" ht="12">
      <c r="A13" s="35">
        <f t="shared" si="0"/>
        <v>13</v>
      </c>
      <c r="B13" s="86"/>
      <c r="C13" s="69" t="s">
        <v>194</v>
      </c>
      <c r="D13" s="61"/>
      <c r="E13" s="61"/>
      <c r="F13" s="62"/>
      <c r="G13" s="66">
        <v>6658</v>
      </c>
      <c r="H13" s="66"/>
      <c r="I13" s="62"/>
      <c r="J13" s="63"/>
      <c r="K13" s="63"/>
      <c r="L13" s="627"/>
      <c r="M13" s="63"/>
      <c r="N13" s="103"/>
      <c r="O13" s="80"/>
      <c r="P13" s="66" t="e">
        <f>+#REF!</f>
        <v>#REF!</v>
      </c>
      <c r="Q13" s="66"/>
      <c r="R13" s="80"/>
      <c r="S13" s="669"/>
      <c r="T13" s="103"/>
      <c r="U13" s="80"/>
      <c r="V13" s="669"/>
      <c r="W13" s="103"/>
      <c r="X13" s="80"/>
      <c r="Y13" s="669"/>
      <c r="Z13" s="63"/>
      <c r="AA13" s="179"/>
      <c r="AB13" s="179"/>
      <c r="AC13" s="179"/>
      <c r="AD13" s="179"/>
      <c r="AE13" s="179"/>
    </row>
    <row r="14" spans="1:31" s="70" customFormat="1" ht="12">
      <c r="A14" s="35">
        <f t="shared" si="0"/>
        <v>14</v>
      </c>
      <c r="B14" s="86"/>
      <c r="C14" s="69" t="s">
        <v>195</v>
      </c>
      <c r="D14" s="61"/>
      <c r="E14" s="61"/>
      <c r="F14" s="62"/>
      <c r="G14" s="66">
        <v>835</v>
      </c>
      <c r="H14" s="66"/>
      <c r="I14" s="62"/>
      <c r="J14" s="63"/>
      <c r="K14" s="63"/>
      <c r="L14" s="627"/>
      <c r="M14" s="63"/>
      <c r="N14" s="103"/>
      <c r="O14" s="80"/>
      <c r="P14" s="66" t="e">
        <f>+#REF!</f>
        <v>#REF!</v>
      </c>
      <c r="Q14" s="66"/>
      <c r="R14" s="80"/>
      <c r="S14" s="669"/>
      <c r="T14" s="103"/>
      <c r="U14" s="80"/>
      <c r="V14" s="669"/>
      <c r="W14" s="103"/>
      <c r="X14" s="80"/>
      <c r="Y14" s="669"/>
      <c r="Z14" s="63"/>
      <c r="AA14" s="179"/>
      <c r="AB14" s="179"/>
      <c r="AC14" s="179"/>
      <c r="AD14" s="179"/>
      <c r="AE14" s="179"/>
    </row>
    <row r="15" spans="1:31" s="70" customFormat="1" ht="12">
      <c r="A15" s="35">
        <f t="shared" si="0"/>
        <v>15</v>
      </c>
      <c r="B15" s="89" t="s">
        <v>216</v>
      </c>
      <c r="C15" s="100"/>
      <c r="D15" s="61"/>
      <c r="E15" s="585">
        <f>SUM(D16:D28)</f>
        <v>116068</v>
      </c>
      <c r="F15" s="62"/>
      <c r="G15" s="66"/>
      <c r="H15" s="585">
        <f>SUM(G16:G28)</f>
        <v>152119</v>
      </c>
      <c r="I15" s="62"/>
      <c r="J15" s="63"/>
      <c r="K15" s="585">
        <f>SUM(J16:J28)</f>
        <v>115500</v>
      </c>
      <c r="L15" s="627"/>
      <c r="M15" s="63"/>
      <c r="N15" s="263">
        <f>SUM(M16:M28)</f>
        <v>107525</v>
      </c>
      <c r="O15" s="80"/>
      <c r="P15" s="66"/>
      <c r="Q15" s="585" t="e">
        <f>SUM(P16:P28)</f>
        <v>#REF!</v>
      </c>
      <c r="R15" s="80"/>
      <c r="S15" s="669"/>
      <c r="T15" s="263">
        <f>SUM(S16:S28)</f>
        <v>276000</v>
      </c>
      <c r="U15" s="80"/>
      <c r="V15" s="669"/>
      <c r="W15" s="263">
        <f>SUM(V16:V28)</f>
        <v>288000</v>
      </c>
      <c r="X15" s="80"/>
      <c r="Y15" s="669"/>
      <c r="Z15" s="585">
        <f>SUM(Y16:Y28)</f>
        <v>301000</v>
      </c>
      <c r="AA15" s="179"/>
      <c r="AB15" s="179"/>
      <c r="AC15" s="179"/>
      <c r="AD15" s="179"/>
      <c r="AE15" s="179"/>
    </row>
    <row r="16" spans="1:31" s="70" customFormat="1" ht="12">
      <c r="A16" s="35">
        <f t="shared" si="0"/>
        <v>16</v>
      </c>
      <c r="B16" s="90"/>
      <c r="C16" s="639" t="s">
        <v>31</v>
      </c>
      <c r="D16" s="61">
        <v>75000</v>
      </c>
      <c r="E16" s="61"/>
      <c r="F16" s="62"/>
      <c r="G16" s="66">
        <v>102865</v>
      </c>
      <c r="H16" s="66"/>
      <c r="I16" s="62"/>
      <c r="J16" s="63">
        <v>30000</v>
      </c>
      <c r="K16" s="63"/>
      <c r="L16" s="627"/>
      <c r="M16" s="63">
        <v>17525</v>
      </c>
      <c r="N16" s="103"/>
      <c r="O16" s="80"/>
      <c r="P16" s="687" t="e">
        <f>+#REF!</f>
        <v>#REF!</v>
      </c>
      <c r="Q16" s="66"/>
      <c r="R16" s="80"/>
      <c r="S16" s="669">
        <v>125000</v>
      </c>
      <c r="T16" s="103"/>
      <c r="U16" s="80"/>
      <c r="V16" s="669">
        <v>135000</v>
      </c>
      <c r="W16" s="103"/>
      <c r="X16" s="80"/>
      <c r="Y16" s="669">
        <v>145000</v>
      </c>
      <c r="Z16" s="63"/>
      <c r="AA16" s="179"/>
      <c r="AB16" s="179"/>
      <c r="AC16" s="179"/>
      <c r="AD16" s="179"/>
      <c r="AE16" s="179"/>
    </row>
    <row r="17" spans="1:31" s="70" customFormat="1" ht="12">
      <c r="A17" s="35">
        <f t="shared" si="0"/>
        <v>17</v>
      </c>
      <c r="B17" s="93"/>
      <c r="C17" s="239" t="s">
        <v>9</v>
      </c>
      <c r="D17" s="61">
        <v>0</v>
      </c>
      <c r="E17" s="61"/>
      <c r="F17" s="62"/>
      <c r="G17" s="66">
        <f>+'EST 2020'!M19</f>
        <v>0</v>
      </c>
      <c r="H17" s="66"/>
      <c r="I17" s="62"/>
      <c r="J17" s="63">
        <v>20000</v>
      </c>
      <c r="K17" s="63"/>
      <c r="L17" s="627"/>
      <c r="M17" s="63">
        <v>20000</v>
      </c>
      <c r="N17" s="103"/>
      <c r="O17" s="80"/>
      <c r="P17" s="687" t="e">
        <f>+#REF!</f>
        <v>#REF!</v>
      </c>
      <c r="Q17" s="66"/>
      <c r="R17" s="80"/>
      <c r="S17" s="669">
        <v>55000</v>
      </c>
      <c r="T17" s="103"/>
      <c r="U17" s="80"/>
      <c r="V17" s="669">
        <v>60000</v>
      </c>
      <c r="W17" s="103"/>
      <c r="X17" s="80"/>
      <c r="Y17" s="669">
        <v>65000</v>
      </c>
      <c r="Z17" s="63"/>
      <c r="AA17" s="179"/>
      <c r="AC17" s="179"/>
      <c r="AD17" s="179"/>
      <c r="AE17" s="179"/>
    </row>
    <row r="18" spans="1:31" s="70" customFormat="1" ht="12">
      <c r="A18" s="35">
        <f t="shared" si="0"/>
        <v>18</v>
      </c>
      <c r="B18" s="93"/>
      <c r="C18" s="239" t="s">
        <v>33</v>
      </c>
      <c r="D18" s="61">
        <v>20000</v>
      </c>
      <c r="E18" s="61"/>
      <c r="F18" s="62"/>
      <c r="G18" s="66">
        <v>20000</v>
      </c>
      <c r="H18" s="66"/>
      <c r="I18" s="62"/>
      <c r="J18" s="63">
        <v>20000</v>
      </c>
      <c r="K18" s="63"/>
      <c r="L18" s="627"/>
      <c r="M18" s="63">
        <v>20000</v>
      </c>
      <c r="N18" s="103"/>
      <c r="O18" s="80"/>
      <c r="P18" s="66" t="e">
        <f>+#REF!</f>
        <v>#REF!</v>
      </c>
      <c r="Q18" s="66"/>
      <c r="R18" s="80"/>
      <c r="S18" s="669">
        <v>20000</v>
      </c>
      <c r="T18" s="103"/>
      <c r="U18" s="80"/>
      <c r="V18" s="669">
        <v>20000</v>
      </c>
      <c r="W18" s="103"/>
      <c r="X18" s="80"/>
      <c r="Y18" s="669">
        <v>20000</v>
      </c>
      <c r="Z18" s="63"/>
      <c r="AA18" s="179"/>
      <c r="AB18" s="179"/>
      <c r="AC18" s="179"/>
      <c r="AD18" s="179"/>
      <c r="AE18" s="179"/>
    </row>
    <row r="19" spans="1:31" s="70" customFormat="1" ht="12">
      <c r="A19" s="35">
        <f t="shared" si="0"/>
        <v>19</v>
      </c>
      <c r="B19" s="93"/>
      <c r="C19" s="239" t="s">
        <v>34</v>
      </c>
      <c r="D19" s="647">
        <v>0</v>
      </c>
      <c r="E19" s="61"/>
      <c r="F19" s="62"/>
      <c r="G19" s="66">
        <v>0</v>
      </c>
      <c r="H19" s="66"/>
      <c r="I19" s="62"/>
      <c r="J19" s="63">
        <v>0</v>
      </c>
      <c r="K19" s="63"/>
      <c r="L19" s="627"/>
      <c r="M19" s="63">
        <v>10000</v>
      </c>
      <c r="N19" s="103"/>
      <c r="O19" s="80"/>
      <c r="P19" s="687" t="e">
        <f>+#REF!</f>
        <v>#REF!</v>
      </c>
      <c r="Q19" s="66"/>
      <c r="R19" s="80"/>
      <c r="S19" s="669">
        <v>10000</v>
      </c>
      <c r="T19" s="103"/>
      <c r="U19" s="80"/>
      <c r="V19" s="669">
        <v>0</v>
      </c>
      <c r="W19" s="103"/>
      <c r="X19" s="80"/>
      <c r="Y19" s="669">
        <v>0</v>
      </c>
      <c r="Z19" s="63"/>
      <c r="AA19" s="179"/>
      <c r="AB19" s="179"/>
      <c r="AC19" s="179"/>
      <c r="AD19" s="179"/>
      <c r="AE19" s="179"/>
    </row>
    <row r="20" spans="1:31" s="70" customFormat="1" ht="12">
      <c r="A20" s="35">
        <f t="shared" si="0"/>
        <v>20</v>
      </c>
      <c r="B20" s="93"/>
      <c r="C20" s="239" t="s">
        <v>10</v>
      </c>
      <c r="D20" s="61">
        <v>9068</v>
      </c>
      <c r="E20" s="61"/>
      <c r="F20" s="62"/>
      <c r="G20" s="66">
        <v>9066</v>
      </c>
      <c r="H20" s="66"/>
      <c r="I20" s="62"/>
      <c r="J20" s="63">
        <v>13000</v>
      </c>
      <c r="K20" s="63"/>
      <c r="L20" s="627"/>
      <c r="M20" s="63">
        <v>0</v>
      </c>
      <c r="N20" s="103"/>
      <c r="O20" s="80"/>
      <c r="P20" s="66" t="e">
        <f>+#REF!</f>
        <v>#REF!</v>
      </c>
      <c r="Q20" s="66"/>
      <c r="R20" s="80"/>
      <c r="S20" s="669">
        <v>10000</v>
      </c>
      <c r="T20" s="103"/>
      <c r="U20" s="80"/>
      <c r="V20" s="669">
        <v>15000</v>
      </c>
      <c r="W20" s="103"/>
      <c r="X20" s="80"/>
      <c r="Y20" s="669">
        <v>15000</v>
      </c>
      <c r="Z20" s="63"/>
      <c r="AA20" s="179"/>
      <c r="AB20" s="179"/>
      <c r="AC20" s="179"/>
      <c r="AD20" s="179"/>
      <c r="AE20" s="179"/>
    </row>
    <row r="21" spans="1:31" s="70" customFormat="1" ht="12">
      <c r="A21" s="35">
        <f t="shared" si="0"/>
        <v>21</v>
      </c>
      <c r="B21" s="93" t="s">
        <v>35</v>
      </c>
      <c r="C21" s="239" t="s">
        <v>36</v>
      </c>
      <c r="D21" s="61">
        <v>0</v>
      </c>
      <c r="E21" s="61"/>
      <c r="F21" s="62"/>
      <c r="G21" s="66">
        <v>0</v>
      </c>
      <c r="H21" s="66"/>
      <c r="I21" s="62"/>
      <c r="J21" s="63">
        <v>0</v>
      </c>
      <c r="K21" s="63"/>
      <c r="L21" s="627"/>
      <c r="M21" s="63">
        <v>0</v>
      </c>
      <c r="N21" s="103"/>
      <c r="O21" s="80"/>
      <c r="P21" s="66" t="e">
        <f>+#REF!</f>
        <v>#REF!</v>
      </c>
      <c r="Q21" s="66"/>
      <c r="R21" s="80"/>
      <c r="S21" s="669">
        <v>16000</v>
      </c>
      <c r="T21" s="103"/>
      <c r="U21" s="80"/>
      <c r="V21" s="669">
        <v>18000</v>
      </c>
      <c r="W21" s="103"/>
      <c r="X21" s="80"/>
      <c r="Y21" s="669">
        <v>16000</v>
      </c>
      <c r="Z21" s="63"/>
      <c r="AA21" s="179"/>
      <c r="AB21" s="179"/>
      <c r="AC21" s="179"/>
      <c r="AD21" s="179"/>
      <c r="AE21" s="179"/>
    </row>
    <row r="22" spans="1:31" s="70" customFormat="1" ht="12">
      <c r="A22" s="35">
        <f t="shared" si="0"/>
        <v>22</v>
      </c>
      <c r="B22" s="93"/>
      <c r="C22" s="239" t="s">
        <v>37</v>
      </c>
      <c r="D22" s="61">
        <v>0</v>
      </c>
      <c r="E22" s="61"/>
      <c r="F22" s="62"/>
      <c r="G22" s="66"/>
      <c r="H22" s="66"/>
      <c r="I22" s="62"/>
      <c r="J22" s="63">
        <v>0</v>
      </c>
      <c r="K22" s="63"/>
      <c r="L22" s="627"/>
      <c r="M22" s="63">
        <v>0</v>
      </c>
      <c r="N22" s="103"/>
      <c r="O22" s="80"/>
      <c r="P22" s="66" t="e">
        <f>+#REF!</f>
        <v>#REF!</v>
      </c>
      <c r="Q22" s="98"/>
      <c r="R22" s="80"/>
      <c r="S22" s="669">
        <v>0</v>
      </c>
      <c r="T22" s="103"/>
      <c r="U22" s="80"/>
      <c r="V22" s="669">
        <v>0</v>
      </c>
      <c r="W22" s="103"/>
      <c r="X22" s="80"/>
      <c r="Y22" s="669">
        <v>0</v>
      </c>
      <c r="Z22" s="63"/>
      <c r="AA22" s="179"/>
      <c r="AB22" s="179"/>
      <c r="AC22" s="179"/>
      <c r="AD22" s="179"/>
      <c r="AE22" s="179"/>
    </row>
    <row r="23" spans="1:31" s="70" customFormat="1" ht="12">
      <c r="A23" s="35">
        <f t="shared" si="0"/>
        <v>23</v>
      </c>
      <c r="B23" s="93"/>
      <c r="C23" s="239" t="s">
        <v>38</v>
      </c>
      <c r="D23" s="61">
        <v>6500</v>
      </c>
      <c r="E23" s="95"/>
      <c r="F23" s="62"/>
      <c r="G23" s="66">
        <v>7000</v>
      </c>
      <c r="H23" s="98"/>
      <c r="I23" s="62"/>
      <c r="J23" s="63">
        <v>15000</v>
      </c>
      <c r="K23" s="96"/>
      <c r="L23" s="627"/>
      <c r="M23" s="63">
        <v>20000</v>
      </c>
      <c r="N23" s="657"/>
      <c r="O23" s="80"/>
      <c r="P23" s="687" t="e">
        <f>+#REF!</f>
        <v>#REF!</v>
      </c>
      <c r="Q23" s="98"/>
      <c r="R23" s="80"/>
      <c r="S23" s="669">
        <v>20000</v>
      </c>
      <c r="T23" s="657"/>
      <c r="U23" s="80"/>
      <c r="V23" s="669">
        <v>20000</v>
      </c>
      <c r="W23" s="657"/>
      <c r="X23" s="80"/>
      <c r="Y23" s="669">
        <v>20000</v>
      </c>
      <c r="Z23" s="96"/>
      <c r="AA23" s="179"/>
      <c r="AB23" s="179"/>
      <c r="AC23" s="179"/>
      <c r="AD23" s="179"/>
      <c r="AE23" s="179"/>
    </row>
    <row r="24" spans="1:31" s="70" customFormat="1" ht="12">
      <c r="A24" s="35">
        <f t="shared" si="0"/>
        <v>24</v>
      </c>
      <c r="B24" s="93"/>
      <c r="C24" s="239" t="s">
        <v>39</v>
      </c>
      <c r="D24" s="61">
        <v>0</v>
      </c>
      <c r="E24" s="95"/>
      <c r="F24" s="62"/>
      <c r="G24" s="66">
        <v>10000</v>
      </c>
      <c r="H24" s="98"/>
      <c r="I24" s="62"/>
      <c r="J24" s="63">
        <v>0</v>
      </c>
      <c r="K24" s="652"/>
      <c r="L24" s="627"/>
      <c r="M24" s="63">
        <v>7500</v>
      </c>
      <c r="N24" s="657"/>
      <c r="O24" s="80"/>
      <c r="P24" s="687" t="e">
        <f>+#REF!</f>
        <v>#REF!</v>
      </c>
      <c r="Q24" s="98"/>
      <c r="R24" s="80"/>
      <c r="S24" s="669">
        <v>7500</v>
      </c>
      <c r="T24" s="657"/>
      <c r="U24" s="80"/>
      <c r="V24" s="669">
        <v>7500</v>
      </c>
      <c r="W24" s="657"/>
      <c r="X24" s="80"/>
      <c r="Y24" s="669">
        <v>7500</v>
      </c>
      <c r="Z24" s="96"/>
      <c r="AA24" s="179"/>
      <c r="AB24" s="179"/>
      <c r="AC24" s="179"/>
      <c r="AD24" s="179"/>
      <c r="AE24" s="179"/>
    </row>
    <row r="25" spans="1:31" s="70" customFormat="1" ht="12">
      <c r="A25" s="35">
        <f t="shared" si="0"/>
        <v>25</v>
      </c>
      <c r="B25" s="93"/>
      <c r="C25" s="239" t="s">
        <v>40</v>
      </c>
      <c r="D25" s="61">
        <v>3000</v>
      </c>
      <c r="E25" s="95"/>
      <c r="F25" s="62"/>
      <c r="G25" s="66">
        <v>0</v>
      </c>
      <c r="H25" s="98"/>
      <c r="I25" s="62"/>
      <c r="J25" s="63">
        <v>5000</v>
      </c>
      <c r="K25" s="96"/>
      <c r="L25" s="627"/>
      <c r="M25" s="63">
        <v>0</v>
      </c>
      <c r="N25" s="657"/>
      <c r="O25" s="80"/>
      <c r="P25" s="687" t="e">
        <f>+#REF!</f>
        <v>#REF!</v>
      </c>
      <c r="Q25" s="98"/>
      <c r="R25" s="80"/>
      <c r="S25" s="669">
        <v>0</v>
      </c>
      <c r="T25" s="657"/>
      <c r="U25" s="80"/>
      <c r="V25" s="669">
        <v>0</v>
      </c>
      <c r="W25" s="657"/>
      <c r="X25" s="80"/>
      <c r="Y25" s="669">
        <v>0</v>
      </c>
      <c r="Z25" s="96"/>
      <c r="AA25" s="179"/>
      <c r="AB25" s="179"/>
      <c r="AC25" s="179"/>
      <c r="AD25" s="179"/>
      <c r="AE25" s="179"/>
    </row>
    <row r="26" spans="1:31" s="70" customFormat="1" ht="12">
      <c r="A26" s="35">
        <f t="shared" si="0"/>
        <v>26</v>
      </c>
      <c r="C26" s="100" t="s">
        <v>11</v>
      </c>
      <c r="D26" s="61">
        <v>2500</v>
      </c>
      <c r="E26" s="95"/>
      <c r="F26" s="62"/>
      <c r="G26" s="66"/>
      <c r="H26" s="98"/>
      <c r="I26" s="62"/>
      <c r="J26" s="261">
        <v>2500</v>
      </c>
      <c r="K26" s="652"/>
      <c r="L26" s="627"/>
      <c r="M26" s="63">
        <v>2500</v>
      </c>
      <c r="N26" s="657"/>
      <c r="O26" s="80"/>
      <c r="P26" s="687" t="e">
        <f>+#REF!</f>
        <v>#REF!</v>
      </c>
      <c r="Q26" s="98"/>
      <c r="R26" s="80"/>
      <c r="S26" s="669">
        <v>2500</v>
      </c>
      <c r="T26" s="657"/>
      <c r="U26" s="80"/>
      <c r="V26" s="669">
        <v>2500</v>
      </c>
      <c r="W26" s="657"/>
      <c r="X26" s="80"/>
      <c r="Y26" s="669">
        <v>2500</v>
      </c>
      <c r="Z26" s="96"/>
      <c r="AA26" s="179"/>
      <c r="AB26" s="179"/>
      <c r="AC26" s="179"/>
      <c r="AD26" s="179"/>
      <c r="AE26" s="179"/>
    </row>
    <row r="27" spans="1:31" s="70" customFormat="1" ht="12">
      <c r="A27" s="35">
        <f t="shared" si="0"/>
        <v>27</v>
      </c>
      <c r="B27" s="93"/>
      <c r="C27" s="239" t="s">
        <v>41</v>
      </c>
      <c r="D27" s="61">
        <v>0</v>
      </c>
      <c r="E27" s="95"/>
      <c r="F27" s="62"/>
      <c r="G27" s="66">
        <f>13+174+1+3000</f>
        <v>3188</v>
      </c>
      <c r="H27" s="98"/>
      <c r="I27" s="62"/>
      <c r="J27" s="63">
        <v>1000</v>
      </c>
      <c r="K27" s="96"/>
      <c r="L27" s="627"/>
      <c r="M27" s="63">
        <v>1000</v>
      </c>
      <c r="N27" s="657"/>
      <c r="O27" s="80"/>
      <c r="P27" s="66" t="e">
        <f>+#REF!</f>
        <v>#REF!</v>
      </c>
      <c r="Q27" s="98"/>
      <c r="R27" s="80"/>
      <c r="S27" s="669">
        <v>1000</v>
      </c>
      <c r="T27" s="657"/>
      <c r="U27" s="80"/>
      <c r="V27" s="669">
        <v>1000</v>
      </c>
      <c r="W27" s="657"/>
      <c r="X27" s="80"/>
      <c r="Y27" s="669">
        <v>1000</v>
      </c>
      <c r="Z27" s="96"/>
      <c r="AA27" s="179"/>
      <c r="AB27" s="179"/>
      <c r="AC27" s="179"/>
      <c r="AD27" s="179"/>
      <c r="AE27" s="179"/>
    </row>
    <row r="28" spans="1:31" s="70" customFormat="1" ht="12">
      <c r="A28" s="35">
        <f t="shared" si="0"/>
        <v>28</v>
      </c>
      <c r="B28" s="93"/>
      <c r="C28" s="239" t="s">
        <v>110</v>
      </c>
      <c r="D28" s="102">
        <v>0</v>
      </c>
      <c r="E28" s="95"/>
      <c r="F28" s="62"/>
      <c r="G28" s="66">
        <f>+'EST 2020'!M30</f>
        <v>0</v>
      </c>
      <c r="H28" s="98"/>
      <c r="I28" s="62"/>
      <c r="J28" s="103">
        <v>9000</v>
      </c>
      <c r="K28" s="96"/>
      <c r="L28" s="627"/>
      <c r="M28" s="103">
        <v>9000</v>
      </c>
      <c r="N28" s="657"/>
      <c r="O28" s="80"/>
      <c r="P28" s="687" t="e">
        <f>+#REF!</f>
        <v>#REF!</v>
      </c>
      <c r="Q28" s="98"/>
      <c r="R28" s="80"/>
      <c r="S28" s="672">
        <v>9000</v>
      </c>
      <c r="T28" s="657"/>
      <c r="U28" s="80"/>
      <c r="V28" s="672">
        <v>9000</v>
      </c>
      <c r="W28" s="657"/>
      <c r="X28" s="80"/>
      <c r="Y28" s="672">
        <v>9000</v>
      </c>
      <c r="Z28" s="96"/>
      <c r="AA28" s="179"/>
      <c r="AB28" s="179"/>
      <c r="AC28" s="179"/>
      <c r="AD28" s="179"/>
      <c r="AE28" s="179"/>
    </row>
    <row r="29" spans="1:31" s="70" customFormat="1" ht="12">
      <c r="A29" s="35">
        <f t="shared" si="0"/>
        <v>29</v>
      </c>
      <c r="B29" s="93"/>
      <c r="C29" s="239"/>
      <c r="D29" s="102"/>
      <c r="E29" s="95"/>
      <c r="F29" s="62"/>
      <c r="G29" s="105"/>
      <c r="H29" s="98"/>
      <c r="I29" s="62"/>
      <c r="J29" s="103"/>
      <c r="K29" s="96"/>
      <c r="L29" s="627"/>
      <c r="M29" s="103"/>
      <c r="N29" s="657"/>
      <c r="O29" s="80"/>
      <c r="P29" s="105"/>
      <c r="Q29" s="98"/>
      <c r="R29" s="80"/>
      <c r="S29" s="672"/>
      <c r="T29" s="657"/>
      <c r="U29" s="80"/>
      <c r="V29" s="672"/>
      <c r="W29" s="657"/>
      <c r="X29" s="80"/>
      <c r="Y29" s="672"/>
      <c r="Z29" s="96"/>
      <c r="AA29" s="179"/>
      <c r="AB29" s="179"/>
      <c r="AC29" s="179"/>
      <c r="AD29" s="179"/>
      <c r="AE29" s="179"/>
    </row>
    <row r="30" spans="1:31" s="70" customFormat="1" ht="12">
      <c r="A30" s="35">
        <f t="shared" si="0"/>
        <v>30</v>
      </c>
      <c r="B30" s="107" t="s">
        <v>42</v>
      </c>
      <c r="C30" s="640"/>
      <c r="D30" s="263"/>
      <c r="E30" s="110">
        <f>SUM(E5:E27)</f>
        <v>217493</v>
      </c>
      <c r="F30" s="62"/>
      <c r="G30" s="109"/>
      <c r="H30" s="110">
        <f>SUM(H5:H27)</f>
        <v>303763</v>
      </c>
      <c r="I30" s="62"/>
      <c r="J30" s="109"/>
      <c r="K30" s="110">
        <f>SUM(K5:K27)</f>
        <v>205500</v>
      </c>
      <c r="L30" s="627"/>
      <c r="M30" s="109"/>
      <c r="N30" s="109">
        <f>SUM(N5:N27)</f>
        <v>228094</v>
      </c>
      <c r="O30" s="80"/>
      <c r="P30" s="109"/>
      <c r="Q30" s="110" t="e">
        <f>+Q5+Q7+Q15</f>
        <v>#REF!</v>
      </c>
      <c r="R30" s="80"/>
      <c r="S30" s="673"/>
      <c r="T30" s="109">
        <f>SUM(T5:T27)</f>
        <v>406000</v>
      </c>
      <c r="U30" s="80"/>
      <c r="V30" s="673"/>
      <c r="W30" s="109">
        <f>SUM(W5:W27)</f>
        <v>403000</v>
      </c>
      <c r="X30" s="80"/>
      <c r="Y30" s="673"/>
      <c r="Z30" s="110">
        <f>SUM(Z5:Z27)</f>
        <v>416000</v>
      </c>
      <c r="AA30" s="179"/>
      <c r="AB30" s="179"/>
      <c r="AC30" s="179"/>
      <c r="AD30" s="179"/>
      <c r="AE30" s="179"/>
    </row>
    <row r="31" spans="1:31" s="70" customFormat="1" ht="13" thickBot="1">
      <c r="A31" s="35">
        <f t="shared" si="0"/>
        <v>31</v>
      </c>
      <c r="B31" s="93"/>
      <c r="C31" s="641"/>
      <c r="D31" s="61"/>
      <c r="E31" s="114"/>
      <c r="F31" s="62"/>
      <c r="G31" s="66"/>
      <c r="H31" s="117"/>
      <c r="I31" s="62"/>
      <c r="J31" s="63"/>
      <c r="K31" s="115"/>
      <c r="L31" s="627"/>
      <c r="M31" s="63"/>
      <c r="N31" s="661"/>
      <c r="O31" s="80"/>
      <c r="P31" s="66"/>
      <c r="Q31" s="117"/>
      <c r="R31" s="80"/>
      <c r="S31" s="669"/>
      <c r="T31" s="661"/>
      <c r="U31" s="80"/>
      <c r="V31" s="669"/>
      <c r="W31" s="661"/>
      <c r="X31" s="80"/>
      <c r="Y31" s="669"/>
      <c r="Z31" s="115"/>
      <c r="AA31" s="179"/>
      <c r="AB31" s="179"/>
      <c r="AC31" s="179"/>
      <c r="AD31" s="179"/>
      <c r="AE31" s="179"/>
    </row>
    <row r="32" spans="1:31" s="70" customFormat="1" ht="13" thickBot="1">
      <c r="A32" s="35">
        <f t="shared" si="0"/>
        <v>32</v>
      </c>
      <c r="B32" s="564" t="s">
        <v>43</v>
      </c>
      <c r="C32" s="638"/>
      <c r="D32" s="61"/>
      <c r="E32" s="61"/>
      <c r="F32" s="62"/>
      <c r="G32" s="66"/>
      <c r="H32" s="66"/>
      <c r="I32" s="62"/>
      <c r="J32" s="63"/>
      <c r="K32" s="63"/>
      <c r="L32" s="627"/>
      <c r="M32" s="63"/>
      <c r="N32" s="103"/>
      <c r="O32" s="80"/>
      <c r="P32" s="66"/>
      <c r="Q32" s="66"/>
      <c r="R32" s="80"/>
      <c r="S32" s="669"/>
      <c r="T32" s="103"/>
      <c r="U32" s="80"/>
      <c r="V32" s="669"/>
      <c r="W32" s="103"/>
      <c r="X32" s="80"/>
      <c r="Y32" s="669"/>
      <c r="Z32" s="63"/>
      <c r="AA32" s="179"/>
      <c r="AB32" s="179"/>
      <c r="AC32" s="179"/>
      <c r="AD32" s="179"/>
      <c r="AE32" s="179"/>
    </row>
    <row r="33" spans="1:31" s="70" customFormat="1" ht="12">
      <c r="A33" s="35">
        <f t="shared" si="0"/>
        <v>33</v>
      </c>
      <c r="B33" s="86" t="s">
        <v>44</v>
      </c>
      <c r="C33" s="100"/>
      <c r="D33" s="61"/>
      <c r="E33" s="585">
        <f>SUM(D34:D46)</f>
        <v>52628</v>
      </c>
      <c r="F33" s="62"/>
      <c r="G33" s="66"/>
      <c r="H33" s="585">
        <f>SUM(G34:G51)</f>
        <v>63388</v>
      </c>
      <c r="I33" s="62"/>
      <c r="J33" s="63"/>
      <c r="K33" s="585">
        <f>SUM(J34:J48)</f>
        <v>81500</v>
      </c>
      <c r="L33" s="627"/>
      <c r="M33" s="63"/>
      <c r="N33" s="263">
        <f>SUM(M34:M48)</f>
        <v>77300</v>
      </c>
      <c r="O33" s="80"/>
      <c r="P33" s="66"/>
      <c r="Q33" s="585" t="e">
        <f>SUM(P34:P49)</f>
        <v>#REF!</v>
      </c>
      <c r="R33" s="80"/>
      <c r="S33" s="669"/>
      <c r="T33" s="263">
        <f>SUM(S34:S48)</f>
        <v>157500</v>
      </c>
      <c r="U33" s="80"/>
      <c r="V33" s="669"/>
      <c r="W33" s="263">
        <f>SUM(V34:V48)</f>
        <v>156500</v>
      </c>
      <c r="X33" s="80"/>
      <c r="Y33" s="669"/>
      <c r="Z33" s="585">
        <f>SUM(Y34:Y48)</f>
        <v>158000</v>
      </c>
      <c r="AA33" s="179"/>
      <c r="AB33" s="179"/>
      <c r="AC33" s="179"/>
      <c r="AD33" s="179"/>
      <c r="AE33" s="179"/>
    </row>
    <row r="34" spans="1:31" s="70" customFormat="1" ht="12">
      <c r="A34" s="35">
        <f t="shared" si="0"/>
        <v>34</v>
      </c>
      <c r="B34" s="93"/>
      <c r="C34" s="100" t="s">
        <v>45</v>
      </c>
      <c r="D34" s="119">
        <v>10000</v>
      </c>
      <c r="E34" s="61"/>
      <c r="F34" s="62"/>
      <c r="G34" s="66">
        <v>21985</v>
      </c>
      <c r="H34" s="66"/>
      <c r="I34" s="62"/>
      <c r="J34" s="63">
        <v>10000</v>
      </c>
      <c r="K34" s="63"/>
      <c r="L34" s="627"/>
      <c r="M34" s="63">
        <v>-1000</v>
      </c>
      <c r="N34" s="103"/>
      <c r="O34" s="80"/>
      <c r="P34" s="687" t="e">
        <f>+#REF!</f>
        <v>#REF!</v>
      </c>
      <c r="Q34" s="66"/>
      <c r="R34" s="80"/>
      <c r="S34" s="669">
        <v>-1000</v>
      </c>
      <c r="T34" s="103"/>
      <c r="U34" s="80" t="s">
        <v>236</v>
      </c>
      <c r="V34" s="669">
        <v>-1000</v>
      </c>
      <c r="W34" s="103"/>
      <c r="X34" s="80"/>
      <c r="Y34" s="669">
        <v>-1000</v>
      </c>
      <c r="Z34" s="63"/>
      <c r="AA34" s="179"/>
      <c r="AB34" s="179"/>
      <c r="AC34" s="179"/>
      <c r="AD34" s="179"/>
      <c r="AE34" s="179"/>
    </row>
    <row r="35" spans="1:31" s="70" customFormat="1" ht="12">
      <c r="A35" s="35">
        <f t="shared" si="0"/>
        <v>35</v>
      </c>
      <c r="B35" s="93"/>
      <c r="C35" s="239" t="s">
        <v>9</v>
      </c>
      <c r="D35" s="119">
        <v>0</v>
      </c>
      <c r="E35" s="61"/>
      <c r="F35" s="62"/>
      <c r="G35" s="66">
        <v>1169</v>
      </c>
      <c r="H35" s="66"/>
      <c r="I35" s="62"/>
      <c r="J35" s="63">
        <v>15000</v>
      </c>
      <c r="K35" s="63"/>
      <c r="L35" s="627"/>
      <c r="M35" s="63">
        <v>15000</v>
      </c>
      <c r="N35" s="103"/>
      <c r="O35" s="80"/>
      <c r="P35" s="687" t="e">
        <f>+#REF!</f>
        <v>#REF!</v>
      </c>
      <c r="Q35" s="66"/>
      <c r="R35" s="80"/>
      <c r="S35" s="669">
        <v>80000</v>
      </c>
      <c r="T35" s="103"/>
      <c r="U35" s="80"/>
      <c r="V35" s="669">
        <v>80000</v>
      </c>
      <c r="W35" s="103"/>
      <c r="X35" s="80"/>
      <c r="Y35" s="669">
        <v>85000</v>
      </c>
      <c r="Z35" s="63"/>
      <c r="AA35" s="179"/>
      <c r="AB35" s="179"/>
      <c r="AC35" s="179"/>
      <c r="AD35" s="179"/>
      <c r="AE35" s="179"/>
    </row>
    <row r="36" spans="1:31" s="70" customFormat="1" ht="12">
      <c r="A36" s="35">
        <f t="shared" si="0"/>
        <v>36</v>
      </c>
      <c r="B36" s="93"/>
      <c r="C36" s="239" t="s">
        <v>46</v>
      </c>
      <c r="D36" s="119">
        <v>20000</v>
      </c>
      <c r="E36" s="61"/>
      <c r="F36" s="62"/>
      <c r="G36" s="66">
        <v>20000</v>
      </c>
      <c r="H36" s="66"/>
      <c r="I36" s="62"/>
      <c r="J36" s="63">
        <v>20000</v>
      </c>
      <c r="K36" s="63"/>
      <c r="L36" s="627"/>
      <c r="M36" s="63">
        <v>20000</v>
      </c>
      <c r="N36" s="103"/>
      <c r="O36" s="80"/>
      <c r="P36" s="66" t="e">
        <f>+#REF!</f>
        <v>#REF!</v>
      </c>
      <c r="Q36" s="66"/>
      <c r="R36" s="80"/>
      <c r="S36" s="669">
        <v>20000</v>
      </c>
      <c r="T36" s="103"/>
      <c r="U36" s="80"/>
      <c r="V36" s="669">
        <v>20000</v>
      </c>
      <c r="W36" s="103"/>
      <c r="X36" s="80"/>
      <c r="Y36" s="669">
        <v>20000</v>
      </c>
      <c r="Z36" s="63"/>
      <c r="AA36" s="179"/>
      <c r="AB36" s="179"/>
      <c r="AC36" s="179"/>
      <c r="AD36" s="179"/>
      <c r="AE36" s="179"/>
    </row>
    <row r="37" spans="1:31" s="70" customFormat="1" ht="12">
      <c r="A37" s="35">
        <f t="shared" si="0"/>
        <v>37</v>
      </c>
      <c r="B37" s="93"/>
      <c r="C37" s="239" t="s">
        <v>47</v>
      </c>
      <c r="D37" s="119">
        <v>1000</v>
      </c>
      <c r="E37" s="61"/>
      <c r="F37" s="62"/>
      <c r="G37" s="66">
        <v>0</v>
      </c>
      <c r="H37" s="66"/>
      <c r="I37" s="62"/>
      <c r="J37" s="63">
        <v>0</v>
      </c>
      <c r="K37" s="63"/>
      <c r="L37" s="627"/>
      <c r="M37" s="63">
        <v>8000</v>
      </c>
      <c r="N37" s="103"/>
      <c r="O37" s="80"/>
      <c r="P37" s="687" t="e">
        <f>+#REF!</f>
        <v>#REF!</v>
      </c>
      <c r="Q37" s="66"/>
      <c r="R37" s="80"/>
      <c r="S37" s="669">
        <v>8000</v>
      </c>
      <c r="T37" s="103"/>
      <c r="U37" s="80"/>
      <c r="V37" s="669">
        <v>0</v>
      </c>
      <c r="W37" s="103"/>
      <c r="X37" s="80"/>
      <c r="Y37" s="669">
        <v>0</v>
      </c>
      <c r="Z37" s="63"/>
      <c r="AA37" s="179"/>
      <c r="AB37" s="179"/>
      <c r="AC37" s="179"/>
      <c r="AD37" s="179"/>
      <c r="AE37" s="179"/>
    </row>
    <row r="38" spans="1:31" s="70" customFormat="1" ht="12">
      <c r="A38" s="35">
        <f t="shared" si="0"/>
        <v>38</v>
      </c>
      <c r="B38" s="93"/>
      <c r="C38" s="239" t="s">
        <v>10</v>
      </c>
      <c r="D38" s="119">
        <v>10628</v>
      </c>
      <c r="E38" s="61"/>
      <c r="F38" s="62"/>
      <c r="G38" s="66">
        <f>10048+580</f>
        <v>10628</v>
      </c>
      <c r="H38" s="66"/>
      <c r="I38" s="62"/>
      <c r="J38" s="63">
        <v>13000</v>
      </c>
      <c r="K38" s="63"/>
      <c r="L38" s="627"/>
      <c r="M38" s="63">
        <v>1800</v>
      </c>
      <c r="N38" s="103"/>
      <c r="O38" s="80"/>
      <c r="P38" s="687" t="e">
        <f>+#REF!</f>
        <v>#REF!</v>
      </c>
      <c r="Q38" s="66"/>
      <c r="R38" s="80"/>
      <c r="S38" s="669">
        <v>8000</v>
      </c>
      <c r="T38" s="103"/>
      <c r="U38" s="80"/>
      <c r="V38" s="669">
        <v>8500</v>
      </c>
      <c r="W38" s="103"/>
      <c r="X38" s="80"/>
      <c r="Y38" s="669">
        <v>8500</v>
      </c>
      <c r="Z38" s="63"/>
      <c r="AA38" s="179"/>
      <c r="AB38" s="179"/>
      <c r="AC38" s="179"/>
      <c r="AD38" s="179"/>
      <c r="AE38" s="179"/>
    </row>
    <row r="39" spans="1:31" s="70" customFormat="1" ht="12">
      <c r="A39" s="35">
        <f t="shared" si="0"/>
        <v>39</v>
      </c>
      <c r="B39" s="93"/>
      <c r="C39" s="239" t="s">
        <v>48</v>
      </c>
      <c r="D39" s="119">
        <v>0</v>
      </c>
      <c r="E39" s="61"/>
      <c r="F39" s="62"/>
      <c r="G39" s="66">
        <v>0</v>
      </c>
      <c r="H39" s="66"/>
      <c r="I39" s="62"/>
      <c r="J39" s="63">
        <v>0</v>
      </c>
      <c r="K39" s="63"/>
      <c r="L39" s="627"/>
      <c r="M39" s="63">
        <v>0</v>
      </c>
      <c r="N39" s="103"/>
      <c r="O39" s="80"/>
      <c r="P39" s="687" t="e">
        <f>+#REF!</f>
        <v>#REF!</v>
      </c>
      <c r="Q39" s="66"/>
      <c r="R39" s="80"/>
      <c r="S39" s="669">
        <v>15000</v>
      </c>
      <c r="T39" s="103"/>
      <c r="U39" s="80"/>
      <c r="V39" s="669">
        <v>18000</v>
      </c>
      <c r="W39" s="103"/>
      <c r="X39" s="80"/>
      <c r="Y39" s="669">
        <v>18000</v>
      </c>
      <c r="Z39" s="63"/>
      <c r="AA39" s="179"/>
      <c r="AB39" s="179"/>
      <c r="AC39" s="179"/>
      <c r="AD39" s="179"/>
      <c r="AE39" s="179"/>
    </row>
    <row r="40" spans="1:31" s="70" customFormat="1" ht="12">
      <c r="A40" s="35">
        <f t="shared" si="0"/>
        <v>40</v>
      </c>
      <c r="B40" s="93"/>
      <c r="C40" s="239" t="s">
        <v>49</v>
      </c>
      <c r="D40" s="119">
        <v>0</v>
      </c>
      <c r="E40" s="61"/>
      <c r="F40" s="62"/>
      <c r="G40" s="66">
        <v>0</v>
      </c>
      <c r="H40" s="66"/>
      <c r="I40" s="62"/>
      <c r="J40" s="63">
        <v>0</v>
      </c>
      <c r="K40" s="63"/>
      <c r="L40" s="627"/>
      <c r="M40" s="63">
        <v>0</v>
      </c>
      <c r="N40" s="103"/>
      <c r="O40" s="80"/>
      <c r="P40" s="66" t="e">
        <f>+#REF!</f>
        <v>#REF!</v>
      </c>
      <c r="Q40" s="66"/>
      <c r="R40" s="80"/>
      <c r="S40" s="669">
        <v>2500</v>
      </c>
      <c r="T40" s="103"/>
      <c r="U40" s="80"/>
      <c r="V40" s="669">
        <v>6000</v>
      </c>
      <c r="W40" s="103"/>
      <c r="X40" s="80"/>
      <c r="Y40" s="669">
        <v>2500</v>
      </c>
      <c r="Z40" s="63"/>
      <c r="AA40" s="179"/>
      <c r="AB40" s="179"/>
      <c r="AC40" s="179"/>
      <c r="AD40" s="179"/>
      <c r="AE40" s="179"/>
    </row>
    <row r="41" spans="1:31" s="70" customFormat="1" ht="12">
      <c r="A41" s="35">
        <f t="shared" si="0"/>
        <v>41</v>
      </c>
      <c r="B41" s="93"/>
      <c r="C41" s="239" t="s">
        <v>37</v>
      </c>
      <c r="D41" s="119">
        <v>0</v>
      </c>
      <c r="E41" s="61"/>
      <c r="F41" s="62"/>
      <c r="G41" s="66">
        <v>0</v>
      </c>
      <c r="H41" s="66"/>
      <c r="I41" s="62"/>
      <c r="J41" s="63">
        <v>0</v>
      </c>
      <c r="K41" s="63"/>
      <c r="L41" s="627"/>
      <c r="M41" s="63">
        <v>0</v>
      </c>
      <c r="N41" s="103"/>
      <c r="O41" s="80"/>
      <c r="P41" s="66" t="e">
        <f>+#REF!</f>
        <v>#REF!</v>
      </c>
      <c r="Q41" s="66"/>
      <c r="R41" s="80"/>
      <c r="S41" s="669">
        <v>0</v>
      </c>
      <c r="T41" s="103"/>
      <c r="U41" s="80"/>
      <c r="V41" s="669">
        <v>0</v>
      </c>
      <c r="W41" s="103"/>
      <c r="X41" s="80"/>
      <c r="Y41" s="669">
        <v>0</v>
      </c>
      <c r="Z41" s="63"/>
      <c r="AA41" s="179"/>
      <c r="AB41" s="179"/>
      <c r="AC41" s="179"/>
      <c r="AD41" s="179"/>
      <c r="AE41" s="179"/>
    </row>
    <row r="42" spans="1:31" s="70" customFormat="1" ht="12">
      <c r="A42" s="35">
        <f t="shared" si="0"/>
        <v>42</v>
      </c>
      <c r="B42" s="93"/>
      <c r="C42" s="239" t="s">
        <v>50</v>
      </c>
      <c r="D42" s="119">
        <v>0</v>
      </c>
      <c r="E42" s="61"/>
      <c r="F42" s="62"/>
      <c r="G42" s="66">
        <v>0</v>
      </c>
      <c r="H42" s="66"/>
      <c r="I42" s="62"/>
      <c r="J42" s="63">
        <v>0</v>
      </c>
      <c r="K42" s="63"/>
      <c r="L42" s="627"/>
      <c r="M42" s="63">
        <v>5000</v>
      </c>
      <c r="N42" s="103"/>
      <c r="O42" s="80"/>
      <c r="P42" s="687" t="e">
        <f>+#REF!</f>
        <v>#REF!</v>
      </c>
      <c r="Q42" s="66"/>
      <c r="R42" s="80"/>
      <c r="S42" s="669">
        <v>0</v>
      </c>
      <c r="T42" s="103"/>
      <c r="U42" s="80"/>
      <c r="V42" s="669">
        <v>0</v>
      </c>
      <c r="W42" s="103"/>
      <c r="X42" s="80"/>
      <c r="Y42" s="669"/>
      <c r="Z42" s="63"/>
      <c r="AA42" s="179"/>
      <c r="AB42" s="179"/>
      <c r="AC42" s="179"/>
      <c r="AD42" s="179"/>
      <c r="AE42" s="179"/>
    </row>
    <row r="43" spans="1:31" s="70" customFormat="1" ht="12">
      <c r="A43" s="35">
        <f t="shared" si="0"/>
        <v>43</v>
      </c>
      <c r="B43" s="93"/>
      <c r="C43" s="239" t="s">
        <v>38</v>
      </c>
      <c r="D43" s="119">
        <v>6000</v>
      </c>
      <c r="E43" s="61"/>
      <c r="F43" s="62"/>
      <c r="G43" s="66">
        <v>3656</v>
      </c>
      <c r="H43" s="66"/>
      <c r="I43" s="62"/>
      <c r="J43" s="63">
        <v>10000</v>
      </c>
      <c r="K43" s="63"/>
      <c r="L43" s="627"/>
      <c r="M43" s="63">
        <v>15000</v>
      </c>
      <c r="N43" s="103"/>
      <c r="O43" s="80"/>
      <c r="P43" s="66" t="e">
        <f>+#REF!</f>
        <v>#REF!</v>
      </c>
      <c r="Q43" s="66"/>
      <c r="R43" s="80"/>
      <c r="S43" s="669">
        <v>15000</v>
      </c>
      <c r="T43" s="103"/>
      <c r="U43" s="80"/>
      <c r="V43" s="669">
        <v>15000</v>
      </c>
      <c r="W43" s="103"/>
      <c r="X43" s="80"/>
      <c r="Y43" s="669">
        <v>15000</v>
      </c>
      <c r="Z43" s="63"/>
      <c r="AA43" s="179"/>
      <c r="AB43" s="179"/>
      <c r="AC43" s="179"/>
      <c r="AD43" s="179"/>
      <c r="AE43" s="179"/>
    </row>
    <row r="44" spans="1:31" s="70" customFormat="1" ht="12">
      <c r="A44" s="35">
        <f t="shared" si="0"/>
        <v>44</v>
      </c>
      <c r="B44" s="93"/>
      <c r="C44" s="239" t="s">
        <v>51</v>
      </c>
      <c r="D44" s="119">
        <v>2500</v>
      </c>
      <c r="E44" s="61"/>
      <c r="F44" s="62"/>
      <c r="G44" s="66">
        <v>0</v>
      </c>
      <c r="H44" s="66"/>
      <c r="I44" s="62"/>
      <c r="J44" s="63">
        <v>3500</v>
      </c>
      <c r="K44" s="63"/>
      <c r="L44" s="627"/>
      <c r="M44" s="63">
        <v>3500</v>
      </c>
      <c r="N44" s="103"/>
      <c r="O44" s="80"/>
      <c r="P44" s="687" t="e">
        <f>+#REF!</f>
        <v>#REF!</v>
      </c>
      <c r="Q44" s="66"/>
      <c r="R44" s="80"/>
      <c r="S44" s="669">
        <v>0</v>
      </c>
      <c r="T44" s="103"/>
      <c r="U44" s="80"/>
      <c r="V44" s="669">
        <v>0</v>
      </c>
      <c r="W44" s="103"/>
      <c r="X44" s="80"/>
      <c r="Y44" s="669">
        <v>0</v>
      </c>
      <c r="Z44" s="63"/>
      <c r="AA44" s="179"/>
      <c r="AB44" s="179"/>
      <c r="AC44" s="179"/>
      <c r="AD44" s="179"/>
      <c r="AE44" s="179"/>
    </row>
    <row r="45" spans="1:31" s="70" customFormat="1" ht="12">
      <c r="A45" s="35">
        <f t="shared" si="0"/>
        <v>45</v>
      </c>
      <c r="B45" s="93"/>
      <c r="C45" s="100" t="s">
        <v>11</v>
      </c>
      <c r="D45" s="119">
        <v>2500</v>
      </c>
      <c r="E45" s="61"/>
      <c r="F45" s="62"/>
      <c r="G45" s="66">
        <v>0</v>
      </c>
      <c r="H45" s="66"/>
      <c r="I45" s="62"/>
      <c r="J45" s="261">
        <v>2500</v>
      </c>
      <c r="K45" s="63"/>
      <c r="L45" s="627"/>
      <c r="M45" s="63">
        <v>2500</v>
      </c>
      <c r="N45" s="103"/>
      <c r="O45" s="80"/>
      <c r="P45" s="687" t="e">
        <f>+#REF!</f>
        <v>#REF!</v>
      </c>
      <c r="Q45" s="66"/>
      <c r="R45" s="80"/>
      <c r="S45" s="669">
        <v>2500</v>
      </c>
      <c r="T45" s="103"/>
      <c r="U45" s="80"/>
      <c r="V45" s="669">
        <v>2500</v>
      </c>
      <c r="W45" s="103"/>
      <c r="X45" s="80"/>
      <c r="Y45" s="669">
        <v>2500</v>
      </c>
      <c r="Z45" s="63"/>
      <c r="AA45" s="179"/>
      <c r="AB45" s="179"/>
      <c r="AC45" s="179"/>
      <c r="AD45" s="179"/>
      <c r="AE45" s="179"/>
    </row>
    <row r="46" spans="1:31" s="70" customFormat="1" ht="12">
      <c r="A46" s="35">
        <f t="shared" si="0"/>
        <v>46</v>
      </c>
      <c r="B46" s="93"/>
      <c r="C46" s="239" t="s">
        <v>110</v>
      </c>
      <c r="D46" s="119">
        <v>0</v>
      </c>
      <c r="E46" s="61"/>
      <c r="F46" s="62"/>
      <c r="G46" s="66">
        <v>0</v>
      </c>
      <c r="H46" s="66"/>
      <c r="I46" s="62"/>
      <c r="J46" s="63">
        <v>7500</v>
      </c>
      <c r="K46" s="63"/>
      <c r="L46" s="627"/>
      <c r="M46" s="63">
        <v>7500</v>
      </c>
      <c r="N46" s="103"/>
      <c r="O46" s="80"/>
      <c r="P46" s="687" t="e">
        <f>+#REF!</f>
        <v>#REF!</v>
      </c>
      <c r="Q46" s="66"/>
      <c r="R46" s="80"/>
      <c r="S46" s="669">
        <v>7500</v>
      </c>
      <c r="T46" s="103"/>
      <c r="U46" s="80"/>
      <c r="V46" s="669">
        <v>7500</v>
      </c>
      <c r="W46" s="103"/>
      <c r="X46" s="80"/>
      <c r="Y46" s="669">
        <v>7500</v>
      </c>
      <c r="Z46" s="63"/>
      <c r="AA46" s="179"/>
      <c r="AB46" s="179"/>
      <c r="AC46" s="179"/>
      <c r="AD46" s="179"/>
      <c r="AE46" s="179"/>
    </row>
    <row r="47" spans="1:31" s="70" customFormat="1" ht="12">
      <c r="A47" s="35">
        <f t="shared" si="0"/>
        <v>47</v>
      </c>
      <c r="B47" s="93"/>
      <c r="C47" s="239" t="s">
        <v>198</v>
      </c>
      <c r="D47" s="119"/>
      <c r="E47" s="61"/>
      <c r="F47" s="62"/>
      <c r="G47" s="66">
        <f>500+300</f>
        <v>800</v>
      </c>
      <c r="H47" s="66"/>
      <c r="I47" s="62"/>
      <c r="J47" s="63"/>
      <c r="K47" s="63"/>
      <c r="L47" s="627"/>
      <c r="M47" s="63"/>
      <c r="N47" s="103"/>
      <c r="O47" s="80"/>
      <c r="P47" s="66" t="e">
        <f>+#REF!</f>
        <v>#REF!</v>
      </c>
      <c r="Q47" s="66"/>
      <c r="R47" s="80"/>
      <c r="S47" s="669"/>
      <c r="T47" s="103"/>
      <c r="U47" s="80"/>
      <c r="V47" s="669"/>
      <c r="W47" s="103"/>
      <c r="X47" s="80"/>
      <c r="Y47" s="669"/>
      <c r="Z47" s="63"/>
      <c r="AA47" s="179"/>
      <c r="AB47" s="179"/>
      <c r="AC47" s="179"/>
      <c r="AD47" s="179"/>
      <c r="AE47" s="179"/>
    </row>
    <row r="48" spans="1:31" s="70" customFormat="1" ht="12">
      <c r="A48" s="35">
        <f t="shared" si="0"/>
        <v>48</v>
      </c>
      <c r="B48" s="93"/>
      <c r="C48" s="239" t="s">
        <v>199</v>
      </c>
      <c r="D48" s="119"/>
      <c r="E48" s="61"/>
      <c r="F48" s="62"/>
      <c r="G48" s="66">
        <v>2000</v>
      </c>
      <c r="H48" s="66"/>
      <c r="I48" s="62"/>
      <c r="J48" s="63"/>
      <c r="K48" s="63"/>
      <c r="L48" s="627"/>
      <c r="M48" s="63"/>
      <c r="N48" s="103"/>
      <c r="O48" s="80"/>
      <c r="P48" s="66" t="e">
        <f>+#REF!</f>
        <v>#REF!</v>
      </c>
      <c r="Q48" s="66"/>
      <c r="R48" s="80"/>
      <c r="S48" s="669"/>
      <c r="T48" s="103"/>
      <c r="U48" s="80"/>
      <c r="V48" s="669"/>
      <c r="W48" s="103"/>
      <c r="X48" s="80"/>
      <c r="Y48" s="669"/>
      <c r="Z48" s="63"/>
      <c r="AA48" s="179"/>
      <c r="AB48" s="179"/>
      <c r="AC48" s="179"/>
      <c r="AD48" s="179"/>
      <c r="AE48" s="179"/>
    </row>
    <row r="49" spans="1:31" s="70" customFormat="1" ht="12">
      <c r="A49" s="35">
        <f t="shared" si="0"/>
        <v>49</v>
      </c>
      <c r="B49" s="93"/>
      <c r="C49" s="239" t="s">
        <v>193</v>
      </c>
      <c r="D49" s="119"/>
      <c r="E49" s="61"/>
      <c r="F49" s="62"/>
      <c r="G49" s="66">
        <v>3150</v>
      </c>
      <c r="H49" s="66"/>
      <c r="I49" s="62"/>
      <c r="J49" s="63"/>
      <c r="K49" s="63"/>
      <c r="L49" s="627"/>
      <c r="M49" s="63"/>
      <c r="N49" s="103"/>
      <c r="O49" s="80"/>
      <c r="P49" s="66" t="e">
        <f>+#REF!</f>
        <v>#REF!</v>
      </c>
      <c r="Q49" s="66"/>
      <c r="R49" s="80"/>
      <c r="S49" s="669"/>
      <c r="T49" s="103"/>
      <c r="U49" s="80"/>
      <c r="V49" s="669"/>
      <c r="W49" s="103"/>
      <c r="X49" s="80"/>
      <c r="Y49" s="669"/>
      <c r="Z49" s="63"/>
      <c r="AA49" s="179"/>
      <c r="AB49" s="179"/>
      <c r="AC49" s="179"/>
      <c r="AD49" s="179"/>
      <c r="AE49" s="179"/>
    </row>
    <row r="50" spans="1:31" s="70" customFormat="1" ht="12">
      <c r="A50" s="35">
        <f t="shared" si="0"/>
        <v>50</v>
      </c>
      <c r="B50" s="93"/>
      <c r="C50" s="239"/>
      <c r="D50" s="119"/>
      <c r="E50" s="61"/>
      <c r="F50" s="62"/>
      <c r="G50" s="66"/>
      <c r="H50" s="66"/>
      <c r="I50" s="62"/>
      <c r="J50" s="63"/>
      <c r="K50" s="63"/>
      <c r="L50" s="627"/>
      <c r="M50" s="63"/>
      <c r="N50" s="103"/>
      <c r="O50" s="80"/>
      <c r="P50" s="66"/>
      <c r="Q50" s="66"/>
      <c r="R50" s="80"/>
      <c r="S50" s="669"/>
      <c r="T50" s="103"/>
      <c r="U50" s="80"/>
      <c r="V50" s="669"/>
      <c r="W50" s="103"/>
      <c r="X50" s="80"/>
      <c r="Y50" s="669"/>
      <c r="Z50" s="63"/>
      <c r="AA50" s="648"/>
      <c r="AB50" s="648"/>
      <c r="AC50" s="648"/>
      <c r="AD50" s="648"/>
      <c r="AE50" s="648"/>
    </row>
    <row r="51" spans="1:31" s="70" customFormat="1" ht="12">
      <c r="A51" s="35">
        <f t="shared" si="0"/>
        <v>51</v>
      </c>
      <c r="B51" s="93"/>
      <c r="C51" s="239"/>
      <c r="D51" s="119"/>
      <c r="E51" s="61"/>
      <c r="F51" s="62"/>
      <c r="G51" s="66"/>
      <c r="H51" s="66"/>
      <c r="I51" s="62"/>
      <c r="J51" s="63"/>
      <c r="K51" s="63"/>
      <c r="L51" s="627"/>
      <c r="M51" s="63"/>
      <c r="N51" s="103"/>
      <c r="O51" s="80"/>
      <c r="P51" s="66"/>
      <c r="Q51" s="66"/>
      <c r="R51" s="80"/>
      <c r="S51" s="669"/>
      <c r="T51" s="103"/>
      <c r="U51" s="80"/>
      <c r="V51" s="669"/>
      <c r="W51" s="103"/>
      <c r="X51" s="80"/>
      <c r="Y51" s="669"/>
      <c r="Z51" s="63"/>
      <c r="AA51" s="648"/>
      <c r="AB51" s="648"/>
      <c r="AC51" s="648"/>
      <c r="AD51" s="648"/>
      <c r="AE51" s="648"/>
    </row>
    <row r="52" spans="1:31" s="70" customFormat="1" ht="12">
      <c r="A52" s="35">
        <f t="shared" si="0"/>
        <v>52</v>
      </c>
      <c r="B52" s="93" t="s">
        <v>52</v>
      </c>
      <c r="C52" s="239"/>
      <c r="D52" s="119"/>
      <c r="E52" s="585">
        <f>SUM(D53:D55)</f>
        <v>2500</v>
      </c>
      <c r="F52" s="62"/>
      <c r="G52" s="66"/>
      <c r="H52" s="585">
        <f>SUM(G53:G54)</f>
        <v>3328</v>
      </c>
      <c r="I52" s="62"/>
      <c r="J52" s="63"/>
      <c r="K52" s="585">
        <f>SUM(J53:J55)</f>
        <v>2500</v>
      </c>
      <c r="L52" s="627"/>
      <c r="M52" s="63"/>
      <c r="N52" s="263">
        <f>SUM(M53:M55)</f>
        <v>2500</v>
      </c>
      <c r="O52" s="80"/>
      <c r="P52" s="66"/>
      <c r="Q52" s="585" t="e">
        <f>SUM(P53:P55)</f>
        <v>#REF!</v>
      </c>
      <c r="R52" s="80"/>
      <c r="S52" s="669"/>
      <c r="T52" s="263">
        <f>SUM(S53:S55)</f>
        <v>2500</v>
      </c>
      <c r="U52" s="80"/>
      <c r="V52" s="669"/>
      <c r="W52" s="263">
        <f>SUM(V53:V55)</f>
        <v>2500</v>
      </c>
      <c r="X52" s="80"/>
      <c r="Y52" s="669"/>
      <c r="Z52" s="585">
        <f>SUM(Y53:Y55)</f>
        <v>2500</v>
      </c>
      <c r="AA52" s="179"/>
      <c r="AB52" s="179"/>
      <c r="AC52" s="179"/>
      <c r="AD52" s="179"/>
      <c r="AE52" s="179"/>
    </row>
    <row r="53" spans="1:31" s="70" customFormat="1" ht="12">
      <c r="A53" s="35">
        <f t="shared" si="0"/>
        <v>53</v>
      </c>
      <c r="B53" s="93"/>
      <c r="C53" s="239" t="s">
        <v>53</v>
      </c>
      <c r="D53" s="119"/>
      <c r="E53" s="61"/>
      <c r="F53" s="62"/>
      <c r="G53" s="66">
        <v>0</v>
      </c>
      <c r="H53" s="66"/>
      <c r="I53" s="62"/>
      <c r="J53" s="63"/>
      <c r="K53" s="63"/>
      <c r="L53" s="627"/>
      <c r="M53" s="63"/>
      <c r="N53" s="103"/>
      <c r="O53" s="80"/>
      <c r="P53" s="66" t="e">
        <f>+#REF!</f>
        <v>#REF!</v>
      </c>
      <c r="Q53" s="66"/>
      <c r="R53" s="80"/>
      <c r="S53" s="669"/>
      <c r="T53" s="103"/>
      <c r="U53" s="80"/>
      <c r="V53" s="669"/>
      <c r="W53" s="103"/>
      <c r="X53" s="80"/>
      <c r="Y53" s="669"/>
      <c r="Z53" s="63"/>
      <c r="AA53" s="179"/>
      <c r="AB53" s="179"/>
      <c r="AC53" s="179"/>
      <c r="AD53" s="179"/>
      <c r="AE53" s="179"/>
    </row>
    <row r="54" spans="1:31" s="70" customFormat="1" ht="12">
      <c r="A54" s="35">
        <f t="shared" si="0"/>
        <v>54</v>
      </c>
      <c r="B54" s="93"/>
      <c r="C54" s="239" t="s">
        <v>98</v>
      </c>
      <c r="D54" s="119">
        <v>2500</v>
      </c>
      <c r="E54" s="61"/>
      <c r="F54" s="62"/>
      <c r="G54" s="66">
        <v>3328</v>
      </c>
      <c r="H54" s="66"/>
      <c r="I54" s="62"/>
      <c r="J54" s="63">
        <v>2500</v>
      </c>
      <c r="K54" s="63"/>
      <c r="L54" s="627"/>
      <c r="M54" s="63">
        <v>2500</v>
      </c>
      <c r="N54" s="103"/>
      <c r="O54" s="80"/>
      <c r="P54" s="66" t="e">
        <f>+#REF!</f>
        <v>#REF!</v>
      </c>
      <c r="Q54" s="66"/>
      <c r="R54" s="80"/>
      <c r="S54" s="669">
        <v>2500</v>
      </c>
      <c r="T54" s="103"/>
      <c r="U54" s="80"/>
      <c r="V54" s="669">
        <v>2500</v>
      </c>
      <c r="W54" s="103"/>
      <c r="X54" s="80"/>
      <c r="Y54" s="669">
        <v>2500</v>
      </c>
      <c r="Z54" s="63"/>
      <c r="AA54" s="179"/>
      <c r="AB54" s="179"/>
      <c r="AC54" s="179"/>
      <c r="AD54" s="179"/>
      <c r="AE54" s="179"/>
    </row>
    <row r="55" spans="1:31" s="70" customFormat="1" ht="12">
      <c r="A55" s="35">
        <f t="shared" si="0"/>
        <v>55</v>
      </c>
      <c r="B55" s="93"/>
      <c r="C55" s="239"/>
      <c r="D55" s="119"/>
      <c r="E55" s="61"/>
      <c r="F55" s="62"/>
      <c r="G55" s="66"/>
      <c r="H55" s="66"/>
      <c r="I55" s="62"/>
      <c r="J55" s="120"/>
      <c r="K55" s="63"/>
      <c r="L55" s="627"/>
      <c r="M55" s="120"/>
      <c r="N55" s="103"/>
      <c r="O55" s="80"/>
      <c r="P55" s="66"/>
      <c r="Q55" s="66"/>
      <c r="R55" s="80"/>
      <c r="S55" s="674"/>
      <c r="T55" s="103"/>
      <c r="U55" s="80"/>
      <c r="V55" s="674"/>
      <c r="W55" s="103"/>
      <c r="X55" s="80"/>
      <c r="Y55" s="674"/>
      <c r="Z55" s="63"/>
      <c r="AA55" s="179"/>
      <c r="AB55" s="179"/>
      <c r="AC55" s="179"/>
      <c r="AD55" s="179"/>
      <c r="AE55" s="179"/>
    </row>
    <row r="56" spans="1:31" s="70" customFormat="1" ht="12">
      <c r="A56" s="35">
        <f t="shared" si="0"/>
        <v>56</v>
      </c>
      <c r="B56" s="93" t="s">
        <v>55</v>
      </c>
      <c r="C56" s="239"/>
      <c r="D56" s="119"/>
      <c r="E56" s="585">
        <f>SUM(D57:D67)</f>
        <v>34050</v>
      </c>
      <c r="F56" s="62"/>
      <c r="G56" s="66"/>
      <c r="H56" s="585">
        <f>SUM(G57:G67)</f>
        <v>34524</v>
      </c>
      <c r="I56" s="62"/>
      <c r="J56" s="63"/>
      <c r="K56" s="585">
        <f>SUM(J57:J67)</f>
        <v>33150</v>
      </c>
      <c r="L56" s="627"/>
      <c r="M56" s="63"/>
      <c r="N56" s="263">
        <f>SUM(M57:M67)</f>
        <v>33150</v>
      </c>
      <c r="O56" s="80"/>
      <c r="P56" s="66"/>
      <c r="Q56" s="585" t="e">
        <f>SUM(P57:P67)</f>
        <v>#REF!</v>
      </c>
      <c r="R56" s="80"/>
      <c r="S56" s="669"/>
      <c r="T56" s="263">
        <f>SUM(S57:S67)</f>
        <v>36750</v>
      </c>
      <c r="U56" s="80"/>
      <c r="V56" s="669"/>
      <c r="W56" s="263">
        <f>SUM(V57:V67)</f>
        <v>37250</v>
      </c>
      <c r="X56" s="80"/>
      <c r="Y56" s="669"/>
      <c r="Z56" s="585">
        <f>SUM(Y57:Y67)</f>
        <v>38250</v>
      </c>
      <c r="AA56" s="179"/>
      <c r="AB56" s="179"/>
      <c r="AC56" s="179"/>
      <c r="AD56" s="179"/>
      <c r="AE56" s="179"/>
    </row>
    <row r="57" spans="1:31" s="70" customFormat="1" ht="12">
      <c r="A57" s="35">
        <f t="shared" si="0"/>
        <v>57</v>
      </c>
      <c r="B57" s="121"/>
      <c r="C57" s="239" t="s">
        <v>201</v>
      </c>
      <c r="D57" s="119">
        <v>3500</v>
      </c>
      <c r="E57" s="61"/>
      <c r="F57" s="62"/>
      <c r="G57" s="66">
        <f>299+2768</f>
        <v>3067</v>
      </c>
      <c r="H57" s="66"/>
      <c r="I57" s="62"/>
      <c r="J57" s="63">
        <v>3000</v>
      </c>
      <c r="K57" s="63"/>
      <c r="L57" s="627"/>
      <c r="M57" s="63">
        <v>3000</v>
      </c>
      <c r="N57" s="103"/>
      <c r="O57" s="80"/>
      <c r="P57" s="66" t="e">
        <f>+#REF!</f>
        <v>#REF!</v>
      </c>
      <c r="Q57" s="66"/>
      <c r="R57" s="80"/>
      <c r="S57" s="669">
        <v>3500</v>
      </c>
      <c r="T57" s="103"/>
      <c r="U57" s="80"/>
      <c r="V57" s="669">
        <v>3500</v>
      </c>
      <c r="W57" s="103"/>
      <c r="X57" s="80"/>
      <c r="Y57" s="669">
        <v>4500</v>
      </c>
      <c r="Z57" s="63"/>
      <c r="AA57" s="179"/>
      <c r="AB57" s="179"/>
      <c r="AC57" s="179"/>
      <c r="AD57" s="179"/>
      <c r="AE57" s="179"/>
    </row>
    <row r="58" spans="1:31" s="70" customFormat="1" ht="12">
      <c r="A58" s="35">
        <f t="shared" si="0"/>
        <v>58</v>
      </c>
      <c r="B58" s="121"/>
      <c r="C58" s="239" t="s">
        <v>57</v>
      </c>
      <c r="D58" s="119">
        <v>2500</v>
      </c>
      <c r="E58" s="61"/>
      <c r="F58" s="62"/>
      <c r="G58" s="66">
        <v>2964</v>
      </c>
      <c r="H58" s="66"/>
      <c r="I58" s="62"/>
      <c r="J58" s="63">
        <v>2500</v>
      </c>
      <c r="K58" s="63"/>
      <c r="L58" s="627"/>
      <c r="M58" s="63">
        <v>2500</v>
      </c>
      <c r="N58" s="103"/>
      <c r="O58" s="80"/>
      <c r="P58" s="66" t="e">
        <f>+#REF!</f>
        <v>#REF!</v>
      </c>
      <c r="Q58" s="66"/>
      <c r="R58" s="80"/>
      <c r="S58" s="669">
        <v>2500</v>
      </c>
      <c r="T58" s="103"/>
      <c r="U58" s="80"/>
      <c r="V58" s="669">
        <v>2500</v>
      </c>
      <c r="W58" s="103"/>
      <c r="X58" s="80"/>
      <c r="Y58" s="669">
        <v>2500</v>
      </c>
      <c r="Z58" s="63"/>
      <c r="AA58" s="179"/>
      <c r="AB58" s="179"/>
      <c r="AC58" s="179"/>
      <c r="AD58" s="179"/>
      <c r="AE58" s="179"/>
    </row>
    <row r="59" spans="1:31" s="70" customFormat="1" ht="12">
      <c r="A59" s="35">
        <f t="shared" si="0"/>
        <v>59</v>
      </c>
      <c r="B59" s="93"/>
      <c r="C59" s="239" t="s">
        <v>58</v>
      </c>
      <c r="D59" s="119">
        <v>1500</v>
      </c>
      <c r="E59" s="61"/>
      <c r="F59" s="62"/>
      <c r="G59" s="66">
        <v>2046</v>
      </c>
      <c r="H59" s="66"/>
      <c r="I59" s="62"/>
      <c r="J59" s="63">
        <v>1500</v>
      </c>
      <c r="K59" s="63"/>
      <c r="L59" s="627"/>
      <c r="M59" s="63">
        <v>1500</v>
      </c>
      <c r="N59" s="103"/>
      <c r="O59" s="80"/>
      <c r="P59" s="66" t="e">
        <f>+#REF!</f>
        <v>#REF!</v>
      </c>
      <c r="Q59" s="66"/>
      <c r="R59" s="80"/>
      <c r="S59" s="669">
        <v>1500</v>
      </c>
      <c r="T59" s="103"/>
      <c r="U59" s="80"/>
      <c r="V59" s="669">
        <v>1500</v>
      </c>
      <c r="W59" s="103"/>
      <c r="X59" s="80"/>
      <c r="Y59" s="669">
        <v>1500</v>
      </c>
      <c r="Z59" s="63"/>
      <c r="AA59" s="179"/>
      <c r="AB59" s="179"/>
      <c r="AC59" s="179"/>
      <c r="AD59" s="179"/>
      <c r="AE59" s="179"/>
    </row>
    <row r="60" spans="1:31" s="70" customFormat="1" ht="12">
      <c r="A60" s="35">
        <f t="shared" si="0"/>
        <v>60</v>
      </c>
      <c r="B60" s="93"/>
      <c r="C60" s="239" t="s">
        <v>59</v>
      </c>
      <c r="D60" s="119">
        <v>1700</v>
      </c>
      <c r="E60" s="61"/>
      <c r="F60" s="62"/>
      <c r="G60" s="66">
        <f>397+3143</f>
        <v>3540</v>
      </c>
      <c r="H60" s="66"/>
      <c r="I60" s="62"/>
      <c r="J60" s="63">
        <v>1700</v>
      </c>
      <c r="K60" s="63"/>
      <c r="L60" s="627"/>
      <c r="M60" s="63">
        <v>1700</v>
      </c>
      <c r="N60" s="103"/>
      <c r="O60" s="80"/>
      <c r="P60" s="66" t="e">
        <f>+#REF!</f>
        <v>#REF!</v>
      </c>
      <c r="Q60" s="66"/>
      <c r="R60" s="80"/>
      <c r="S60" s="669">
        <v>1700</v>
      </c>
      <c r="T60" s="103"/>
      <c r="U60" s="80"/>
      <c r="V60" s="669">
        <v>1700</v>
      </c>
      <c r="W60" s="103"/>
      <c r="X60" s="80"/>
      <c r="Y60" s="669">
        <v>1700</v>
      </c>
      <c r="Z60" s="63"/>
      <c r="AA60" s="179"/>
      <c r="AB60" s="179"/>
      <c r="AC60" s="179"/>
      <c r="AD60" s="179"/>
      <c r="AE60" s="179"/>
    </row>
    <row r="61" spans="1:31" s="70" customFormat="1" ht="12">
      <c r="A61" s="35">
        <f t="shared" si="0"/>
        <v>61</v>
      </c>
      <c r="B61" s="93"/>
      <c r="C61" s="100" t="s">
        <v>104</v>
      </c>
      <c r="D61" s="119">
        <v>18000</v>
      </c>
      <c r="E61" s="61"/>
      <c r="F61" s="62"/>
      <c r="G61" s="66">
        <f>18570+675</f>
        <v>19245</v>
      </c>
      <c r="H61" s="66"/>
      <c r="I61" s="62"/>
      <c r="J61" s="63">
        <v>18000</v>
      </c>
      <c r="K61" s="63"/>
      <c r="L61" s="627"/>
      <c r="M61" s="63">
        <v>18000</v>
      </c>
      <c r="N61" s="103"/>
      <c r="O61" s="80"/>
      <c r="P61" s="66" t="e">
        <f>+#REF!</f>
        <v>#REF!</v>
      </c>
      <c r="Q61" s="66"/>
      <c r="R61" s="80"/>
      <c r="S61" s="669">
        <v>20000</v>
      </c>
      <c r="T61" s="103"/>
      <c r="U61" s="80"/>
      <c r="V61" s="669">
        <v>20000</v>
      </c>
      <c r="W61" s="103"/>
      <c r="X61" s="80"/>
      <c r="Y61" s="669">
        <v>20000</v>
      </c>
      <c r="Z61" s="63"/>
      <c r="AA61" s="179"/>
      <c r="AB61" s="179"/>
      <c r="AC61" s="179"/>
      <c r="AD61" s="179"/>
      <c r="AE61" s="179"/>
    </row>
    <row r="62" spans="1:31" s="70" customFormat="1" ht="12">
      <c r="A62" s="35">
        <f t="shared" si="0"/>
        <v>62</v>
      </c>
      <c r="B62" s="93"/>
      <c r="C62" s="239" t="s">
        <v>62</v>
      </c>
      <c r="D62" s="119">
        <v>2500</v>
      </c>
      <c r="E62" s="61"/>
      <c r="F62" s="62"/>
      <c r="G62" s="66">
        <v>1142</v>
      </c>
      <c r="H62" s="66"/>
      <c r="I62" s="62"/>
      <c r="J62" s="63">
        <v>1600</v>
      </c>
      <c r="K62" s="63"/>
      <c r="L62" s="627"/>
      <c r="M62" s="63">
        <v>1600</v>
      </c>
      <c r="N62" s="103"/>
      <c r="O62" s="80"/>
      <c r="P62" s="66" t="e">
        <f>+#REF!</f>
        <v>#REF!</v>
      </c>
      <c r="Q62" s="66"/>
      <c r="R62" s="80"/>
      <c r="S62" s="669">
        <v>1200</v>
      </c>
      <c r="T62" s="103"/>
      <c r="U62" s="80"/>
      <c r="V62" s="669">
        <v>1200</v>
      </c>
      <c r="W62" s="103"/>
      <c r="X62" s="80"/>
      <c r="Y62" s="669">
        <v>1200</v>
      </c>
      <c r="Z62" s="63"/>
      <c r="AA62" s="179"/>
      <c r="AB62" s="179"/>
      <c r="AC62" s="179"/>
      <c r="AD62" s="179"/>
      <c r="AE62" s="179"/>
    </row>
    <row r="63" spans="1:31" s="70" customFormat="1" ht="12">
      <c r="A63" s="35">
        <f t="shared" si="0"/>
        <v>63</v>
      </c>
      <c r="B63" s="93"/>
      <c r="C63" s="239" t="s">
        <v>63</v>
      </c>
      <c r="D63" s="119">
        <v>500</v>
      </c>
      <c r="E63" s="61"/>
      <c r="F63" s="62"/>
      <c r="G63" s="66">
        <v>315</v>
      </c>
      <c r="H63" s="66"/>
      <c r="I63" s="62"/>
      <c r="J63" s="63">
        <v>500</v>
      </c>
      <c r="K63" s="63"/>
      <c r="L63" s="627"/>
      <c r="M63" s="63">
        <v>500</v>
      </c>
      <c r="N63" s="103"/>
      <c r="O63" s="80"/>
      <c r="P63" s="66" t="e">
        <f>+#REF!</f>
        <v>#REF!</v>
      </c>
      <c r="Q63" s="66"/>
      <c r="R63" s="80"/>
      <c r="S63" s="669">
        <v>500</v>
      </c>
      <c r="T63" s="103"/>
      <c r="U63" s="80"/>
      <c r="V63" s="669">
        <v>500</v>
      </c>
      <c r="W63" s="103"/>
      <c r="X63" s="80"/>
      <c r="Y63" s="669">
        <v>500</v>
      </c>
      <c r="Z63" s="63"/>
      <c r="AA63" s="179"/>
      <c r="AB63" s="179"/>
      <c r="AC63" s="179"/>
      <c r="AD63" s="179"/>
      <c r="AE63" s="179"/>
    </row>
    <row r="64" spans="1:31" s="70" customFormat="1" ht="12">
      <c r="A64" s="35">
        <f t="shared" si="0"/>
        <v>64</v>
      </c>
      <c r="B64" s="93"/>
      <c r="C64" s="239" t="s">
        <v>64</v>
      </c>
      <c r="D64" s="119">
        <v>850</v>
      </c>
      <c r="E64" s="61"/>
      <c r="F64" s="62"/>
      <c r="G64" s="66">
        <v>768</v>
      </c>
      <c r="H64" s="66"/>
      <c r="I64" s="62"/>
      <c r="J64" s="63">
        <v>850</v>
      </c>
      <c r="K64" s="63"/>
      <c r="L64" s="627"/>
      <c r="M64" s="63">
        <v>850</v>
      </c>
      <c r="N64" s="103"/>
      <c r="O64" s="80"/>
      <c r="P64" s="66" t="e">
        <f>+#REF!</f>
        <v>#REF!</v>
      </c>
      <c r="Q64" s="66"/>
      <c r="R64" s="80"/>
      <c r="S64" s="669">
        <v>850</v>
      </c>
      <c r="T64" s="103"/>
      <c r="U64" s="80"/>
      <c r="V64" s="669">
        <v>850</v>
      </c>
      <c r="W64" s="103"/>
      <c r="X64" s="80"/>
      <c r="Y64" s="669">
        <v>850</v>
      </c>
      <c r="Z64" s="63"/>
      <c r="AA64" s="179"/>
      <c r="AB64" s="179"/>
      <c r="AC64" s="179"/>
      <c r="AD64" s="179"/>
      <c r="AE64" s="179"/>
    </row>
    <row r="65" spans="1:31" s="70" customFormat="1" ht="12">
      <c r="A65" s="35">
        <f t="shared" si="0"/>
        <v>65</v>
      </c>
      <c r="B65" s="93"/>
      <c r="C65" s="239" t="s">
        <v>65</v>
      </c>
      <c r="D65" s="119">
        <v>2000</v>
      </c>
      <c r="E65" s="61"/>
      <c r="F65" s="62"/>
      <c r="G65" s="66">
        <f>1103+14</f>
        <v>1117</v>
      </c>
      <c r="H65" s="66"/>
      <c r="I65" s="62"/>
      <c r="J65" s="63">
        <v>2500</v>
      </c>
      <c r="K65" s="63"/>
      <c r="L65" s="627"/>
      <c r="M65" s="63">
        <v>2500</v>
      </c>
      <c r="N65" s="103"/>
      <c r="O65" s="80"/>
      <c r="P65" s="66" t="e">
        <f>+#REF!</f>
        <v>#REF!</v>
      </c>
      <c r="Q65" s="66"/>
      <c r="R65" s="80"/>
      <c r="S65" s="669">
        <v>4000</v>
      </c>
      <c r="T65" s="103"/>
      <c r="U65" s="80"/>
      <c r="V65" s="669">
        <v>4500</v>
      </c>
      <c r="W65" s="103"/>
      <c r="X65" s="80"/>
      <c r="Y65" s="669">
        <v>4500</v>
      </c>
      <c r="Z65" s="63"/>
      <c r="AA65" s="179"/>
      <c r="AB65" s="179"/>
      <c r="AC65" s="179"/>
      <c r="AD65" s="179"/>
      <c r="AE65" s="179"/>
    </row>
    <row r="66" spans="1:31" s="70" customFormat="1" ht="12">
      <c r="A66" s="35">
        <f t="shared" si="0"/>
        <v>66</v>
      </c>
      <c r="B66" s="93"/>
      <c r="C66" s="239" t="s">
        <v>41</v>
      </c>
      <c r="D66" s="119">
        <v>500</v>
      </c>
      <c r="E66" s="61"/>
      <c r="F66" s="62"/>
      <c r="G66" s="66">
        <v>0</v>
      </c>
      <c r="H66" s="66"/>
      <c r="I66" s="62"/>
      <c r="J66" s="63">
        <v>500</v>
      </c>
      <c r="K66" s="261"/>
      <c r="L66" s="627"/>
      <c r="M66" s="63">
        <v>500</v>
      </c>
      <c r="N66" s="662"/>
      <c r="O66" s="80"/>
      <c r="P66" s="66" t="e">
        <f>+#REF!</f>
        <v>#REF!</v>
      </c>
      <c r="Q66" s="66"/>
      <c r="R66" s="80"/>
      <c r="S66" s="669">
        <v>500</v>
      </c>
      <c r="T66" s="662"/>
      <c r="U66" s="80"/>
      <c r="V66" s="669">
        <v>500</v>
      </c>
      <c r="W66" s="662"/>
      <c r="X66" s="80"/>
      <c r="Y66" s="669">
        <v>500</v>
      </c>
      <c r="Z66" s="261"/>
      <c r="AA66" s="179"/>
      <c r="AB66" s="179"/>
      <c r="AC66" s="179"/>
      <c r="AD66" s="179"/>
      <c r="AE66" s="179"/>
    </row>
    <row r="67" spans="1:31" s="70" customFormat="1" ht="12">
      <c r="A67" s="35">
        <f t="shared" ref="A67:A86" si="1">+A66+1</f>
        <v>67</v>
      </c>
      <c r="B67" s="93"/>
      <c r="C67" s="239" t="s">
        <v>101</v>
      </c>
      <c r="D67" s="119">
        <v>500</v>
      </c>
      <c r="E67" s="61"/>
      <c r="F67" s="62"/>
      <c r="G67" s="66">
        <v>320</v>
      </c>
      <c r="H67" s="66"/>
      <c r="I67" s="62"/>
      <c r="J67" s="63">
        <v>500</v>
      </c>
      <c r="K67" s="63"/>
      <c r="L67" s="627"/>
      <c r="M67" s="63">
        <v>500</v>
      </c>
      <c r="N67" s="103"/>
      <c r="O67" s="80"/>
      <c r="P67" s="66" t="e">
        <f>+#REF!</f>
        <v>#REF!</v>
      </c>
      <c r="Q67" s="66"/>
      <c r="R67" s="80"/>
      <c r="S67" s="669">
        <v>500</v>
      </c>
      <c r="T67" s="103"/>
      <c r="U67" s="80"/>
      <c r="V67" s="669">
        <v>500</v>
      </c>
      <c r="W67" s="103"/>
      <c r="X67" s="80"/>
      <c r="Y67" s="669">
        <v>500</v>
      </c>
      <c r="Z67" s="63"/>
      <c r="AA67" s="179"/>
      <c r="AB67" s="179"/>
      <c r="AC67" s="179"/>
      <c r="AD67" s="179"/>
      <c r="AE67" s="179"/>
    </row>
    <row r="68" spans="1:31" s="70" customFormat="1" ht="12">
      <c r="A68" s="35">
        <f t="shared" si="1"/>
        <v>68</v>
      </c>
      <c r="B68" s="93"/>
      <c r="D68" s="119"/>
      <c r="E68" s="61"/>
      <c r="F68" s="62"/>
      <c r="G68" s="66"/>
      <c r="H68" s="66"/>
      <c r="I68" s="62"/>
      <c r="J68" s="63"/>
      <c r="K68" s="63"/>
      <c r="L68" s="627"/>
      <c r="M68" s="63"/>
      <c r="N68" s="103"/>
      <c r="O68" s="80"/>
      <c r="P68" s="66"/>
      <c r="Q68" s="66"/>
      <c r="R68" s="80"/>
      <c r="S68" s="669"/>
      <c r="T68" s="103"/>
      <c r="U68" s="80"/>
      <c r="V68" s="669"/>
      <c r="W68" s="103"/>
      <c r="X68" s="80"/>
      <c r="Y68" s="669"/>
      <c r="Z68" s="63"/>
      <c r="AA68" s="179"/>
      <c r="AB68" s="179"/>
      <c r="AC68" s="179"/>
      <c r="AD68" s="179"/>
      <c r="AE68" s="179"/>
    </row>
    <row r="69" spans="1:31" s="70" customFormat="1" ht="12">
      <c r="A69" s="35">
        <f t="shared" si="1"/>
        <v>69</v>
      </c>
      <c r="B69" s="93" t="s">
        <v>66</v>
      </c>
      <c r="C69" s="239"/>
      <c r="D69" s="119"/>
      <c r="E69" s="585">
        <f>SUM(D70:D76)</f>
        <v>169888</v>
      </c>
      <c r="F69" s="62"/>
      <c r="G69" s="66"/>
      <c r="H69" s="585">
        <f>SUM(G70:G75)</f>
        <v>169296</v>
      </c>
      <c r="I69" s="62"/>
      <c r="J69" s="63"/>
      <c r="K69" s="585">
        <f>SUM(J70:J76)</f>
        <v>147858</v>
      </c>
      <c r="L69" s="627"/>
      <c r="M69" s="63"/>
      <c r="N69" s="263">
        <f>SUM(M70:M76)</f>
        <v>150358</v>
      </c>
      <c r="O69" s="80"/>
      <c r="P69" s="66"/>
      <c r="Q69" s="585" t="e">
        <f>SUM(P70:P76)</f>
        <v>#REF!</v>
      </c>
      <c r="R69" s="80"/>
      <c r="S69" s="669"/>
      <c r="T69" s="263">
        <f>SUM(S70:S76)</f>
        <v>239061</v>
      </c>
      <c r="U69" s="80"/>
      <c r="V69" s="669"/>
      <c r="W69" s="263">
        <f>SUM(V70:V76)</f>
        <v>239061</v>
      </c>
      <c r="X69" s="80"/>
      <c r="Y69" s="669"/>
      <c r="Z69" s="585">
        <f>SUM(Y70:Y76)</f>
        <v>239061</v>
      </c>
      <c r="AA69" s="179"/>
      <c r="AB69" s="179"/>
      <c r="AC69" s="179"/>
      <c r="AD69" s="179"/>
      <c r="AE69" s="179"/>
    </row>
    <row r="70" spans="1:31" s="70" customFormat="1" ht="12">
      <c r="A70" s="35">
        <f t="shared" si="1"/>
        <v>70</v>
      </c>
      <c r="B70" s="93"/>
      <c r="C70" s="239" t="s">
        <v>67</v>
      </c>
      <c r="D70" s="123">
        <v>19747</v>
      </c>
      <c r="E70" s="61"/>
      <c r="F70" s="62"/>
      <c r="G70" s="66">
        <v>19748</v>
      </c>
      <c r="H70" s="66"/>
      <c r="I70" s="62"/>
      <c r="J70" s="63">
        <v>0</v>
      </c>
      <c r="K70" s="63"/>
      <c r="L70" s="627"/>
      <c r="M70" s="63">
        <v>0</v>
      </c>
      <c r="N70" s="103"/>
      <c r="O70" s="80"/>
      <c r="P70" s="66" t="e">
        <f>+#REF!</f>
        <v>#REF!</v>
      </c>
      <c r="Q70" s="66"/>
      <c r="R70" s="80"/>
      <c r="S70" s="688">
        <v>85000</v>
      </c>
      <c r="T70" s="103"/>
      <c r="U70" s="80"/>
      <c r="V70" s="669">
        <v>85000</v>
      </c>
      <c r="W70" s="103"/>
      <c r="X70" s="80"/>
      <c r="Y70" s="669">
        <v>85000</v>
      </c>
      <c r="Z70" s="63"/>
      <c r="AA70" s="179"/>
      <c r="AB70" s="179"/>
      <c r="AC70" s="179"/>
      <c r="AD70" s="179"/>
      <c r="AE70" s="179"/>
    </row>
    <row r="71" spans="1:31" s="70" customFormat="1" ht="12">
      <c r="A71" s="35">
        <f t="shared" si="1"/>
        <v>71</v>
      </c>
      <c r="B71" s="93"/>
      <c r="C71" s="239" t="s">
        <v>105</v>
      </c>
      <c r="D71" s="119">
        <v>40800</v>
      </c>
      <c r="E71" s="61"/>
      <c r="F71" s="62"/>
      <c r="G71" s="66">
        <v>40800</v>
      </c>
      <c r="H71" s="66"/>
      <c r="I71" s="62"/>
      <c r="J71" s="63">
        <v>41330</v>
      </c>
      <c r="K71" s="63"/>
      <c r="L71" s="628">
        <f>+J71/G71-1</f>
        <v>1.2990196078431326E-2</v>
      </c>
      <c r="M71" s="63">
        <v>41330</v>
      </c>
      <c r="N71" s="103"/>
      <c r="O71" s="80"/>
      <c r="P71" s="66" t="e">
        <f>+#REF!</f>
        <v>#REF!</v>
      </c>
      <c r="Q71" s="66"/>
      <c r="R71" s="80"/>
      <c r="S71" s="688">
        <v>44429</v>
      </c>
      <c r="T71" s="103"/>
      <c r="U71" s="80" t="s">
        <v>237</v>
      </c>
      <c r="V71" s="669">
        <v>44429</v>
      </c>
      <c r="W71" s="103"/>
      <c r="X71" s="80"/>
      <c r="Y71" s="669">
        <v>44429</v>
      </c>
      <c r="Z71" s="63"/>
      <c r="AA71" s="179"/>
      <c r="AB71" s="179"/>
      <c r="AC71" s="179"/>
      <c r="AD71" s="179"/>
      <c r="AE71" s="179"/>
    </row>
    <row r="72" spans="1:31" s="70" customFormat="1" ht="14" customHeight="1">
      <c r="A72" s="35">
        <f t="shared" si="1"/>
        <v>72</v>
      </c>
      <c r="B72" s="93"/>
      <c r="C72" s="239" t="s">
        <v>213</v>
      </c>
      <c r="D72" s="119">
        <v>71341</v>
      </c>
      <c r="E72" s="61"/>
      <c r="F72" s="62"/>
      <c r="G72" s="66">
        <v>71341</v>
      </c>
      <c r="H72" s="66"/>
      <c r="I72" s="62"/>
      <c r="J72" s="63">
        <v>72268</v>
      </c>
      <c r="K72" s="63"/>
      <c r="L72" s="628">
        <f>+J72/G72-1</f>
        <v>1.2993930558865108E-2</v>
      </c>
      <c r="M72" s="63">
        <v>72268</v>
      </c>
      <c r="N72" s="103"/>
      <c r="O72" s="80"/>
      <c r="P72" s="66" t="e">
        <f>+#REF!</f>
        <v>#REF!</v>
      </c>
      <c r="Q72" s="66"/>
      <c r="R72" s="80"/>
      <c r="S72" s="688">
        <v>76532</v>
      </c>
      <c r="T72" s="103"/>
      <c r="U72" s="80" t="s">
        <v>238</v>
      </c>
      <c r="V72" s="669">
        <v>76532</v>
      </c>
      <c r="W72" s="103"/>
      <c r="X72" s="80"/>
      <c r="Y72" s="669">
        <v>76532</v>
      </c>
      <c r="Z72" s="63"/>
      <c r="AA72" s="179"/>
      <c r="AB72" s="179"/>
      <c r="AC72" s="179"/>
      <c r="AD72" s="179"/>
      <c r="AE72" s="179"/>
    </row>
    <row r="73" spans="1:31" s="70" customFormat="1" ht="12">
      <c r="A73" s="35">
        <f t="shared" si="1"/>
        <v>73</v>
      </c>
      <c r="B73" s="93"/>
      <c r="C73" s="239" t="s">
        <v>70</v>
      </c>
      <c r="D73" s="119">
        <v>20000</v>
      </c>
      <c r="E73" s="61"/>
      <c r="F73" s="62"/>
      <c r="G73" s="66">
        <f>21210+1867</f>
        <v>23077</v>
      </c>
      <c r="H73" s="66"/>
      <c r="I73" s="62"/>
      <c r="J73" s="261">
        <v>20260</v>
      </c>
      <c r="K73" s="63"/>
      <c r="L73" s="627"/>
      <c r="M73" s="261">
        <f>20260+2500</f>
        <v>22760</v>
      </c>
      <c r="N73" s="103"/>
      <c r="O73" s="80"/>
      <c r="P73" s="66" t="e">
        <f>+#REF!</f>
        <v>#REF!</v>
      </c>
      <c r="Q73" s="66"/>
      <c r="R73" s="80"/>
      <c r="S73" s="675">
        <v>17800</v>
      </c>
      <c r="T73" s="103"/>
      <c r="U73" s="80"/>
      <c r="V73" s="675">
        <v>17800</v>
      </c>
      <c r="W73" s="103"/>
      <c r="X73" s="80"/>
      <c r="Y73" s="675">
        <v>17800</v>
      </c>
      <c r="Z73" s="63"/>
      <c r="AA73" s="179"/>
      <c r="AB73" s="179"/>
      <c r="AC73" s="179"/>
      <c r="AD73" s="179"/>
      <c r="AE73" s="179"/>
    </row>
    <row r="74" spans="1:31" s="70" customFormat="1" ht="12">
      <c r="A74" s="35">
        <f t="shared" si="1"/>
        <v>74</v>
      </c>
      <c r="B74" s="93"/>
      <c r="C74" s="100" t="s">
        <v>71</v>
      </c>
      <c r="D74" s="119">
        <v>15000</v>
      </c>
      <c r="E74" s="61"/>
      <c r="F74" s="62"/>
      <c r="G74" s="66">
        <f>11712+168+340</f>
        <v>12220</v>
      </c>
      <c r="H74" s="66"/>
      <c r="I74" s="62"/>
      <c r="J74" s="261">
        <v>12000</v>
      </c>
      <c r="K74" s="63"/>
      <c r="L74" s="627"/>
      <c r="M74" s="261">
        <v>12000</v>
      </c>
      <c r="N74" s="103"/>
      <c r="O74" s="80"/>
      <c r="P74" s="66" t="e">
        <f>+#REF!</f>
        <v>#REF!</v>
      </c>
      <c r="Q74" s="66"/>
      <c r="R74" s="80"/>
      <c r="S74" s="675">
        <v>13000</v>
      </c>
      <c r="T74" s="103"/>
      <c r="U74" s="80"/>
      <c r="V74" s="675">
        <v>13000</v>
      </c>
      <c r="W74" s="103"/>
      <c r="X74" s="80"/>
      <c r="Y74" s="675">
        <v>13000</v>
      </c>
      <c r="Z74" s="63"/>
      <c r="AA74" s="179"/>
      <c r="AB74" s="179"/>
      <c r="AC74" s="179"/>
      <c r="AD74" s="179"/>
      <c r="AE74" s="179"/>
    </row>
    <row r="75" spans="1:31" s="70" customFormat="1" ht="12">
      <c r="A75" s="35">
        <f t="shared" si="1"/>
        <v>75</v>
      </c>
      <c r="B75" s="89"/>
      <c r="C75" s="100" t="s">
        <v>72</v>
      </c>
      <c r="D75" s="119">
        <v>3000</v>
      </c>
      <c r="E75" s="61"/>
      <c r="F75" s="62"/>
      <c r="G75" s="66">
        <v>2110</v>
      </c>
      <c r="H75" s="66"/>
      <c r="I75" s="62"/>
      <c r="J75" s="63">
        <v>2000</v>
      </c>
      <c r="K75" s="63"/>
      <c r="L75" s="627"/>
      <c r="M75" s="63">
        <v>2000</v>
      </c>
      <c r="N75" s="103"/>
      <c r="O75" s="80"/>
      <c r="P75" s="66" t="e">
        <f>+#REF!</f>
        <v>#REF!</v>
      </c>
      <c r="Q75" s="66"/>
      <c r="R75" s="80"/>
      <c r="S75" s="669">
        <v>2300</v>
      </c>
      <c r="T75" s="103"/>
      <c r="U75" s="80"/>
      <c r="V75" s="669">
        <v>2300</v>
      </c>
      <c r="W75" s="103"/>
      <c r="X75" s="80"/>
      <c r="Y75" s="669">
        <v>2300</v>
      </c>
      <c r="Z75" s="63"/>
      <c r="AA75" s="179"/>
      <c r="AB75" s="179"/>
      <c r="AC75" s="179"/>
      <c r="AD75" s="179"/>
      <c r="AE75" s="179"/>
    </row>
    <row r="76" spans="1:31" s="70" customFormat="1" ht="12">
      <c r="A76" s="35">
        <f t="shared" si="1"/>
        <v>76</v>
      </c>
      <c r="B76" s="93"/>
      <c r="C76" s="239"/>
      <c r="D76" s="119"/>
      <c r="E76" s="61"/>
      <c r="F76" s="62"/>
      <c r="G76" s="66"/>
      <c r="H76" s="66"/>
      <c r="I76" s="62"/>
      <c r="J76" s="261"/>
      <c r="K76" s="261"/>
      <c r="L76" s="627"/>
      <c r="M76" s="261"/>
      <c r="N76" s="662"/>
      <c r="O76" s="80"/>
      <c r="P76" s="66"/>
      <c r="Q76" s="66"/>
      <c r="R76" s="80"/>
      <c r="S76" s="675"/>
      <c r="T76" s="662"/>
      <c r="U76" s="80"/>
      <c r="V76" s="675"/>
      <c r="W76" s="662"/>
      <c r="X76" s="80"/>
      <c r="Y76" s="675"/>
      <c r="Z76" s="261"/>
      <c r="AA76" s="179"/>
      <c r="AB76" s="179"/>
      <c r="AC76" s="179"/>
      <c r="AD76" s="179"/>
      <c r="AE76" s="179"/>
    </row>
    <row r="77" spans="1:31" s="70" customFormat="1" ht="13" thickBot="1">
      <c r="A77" s="35">
        <f t="shared" si="1"/>
        <v>77</v>
      </c>
      <c r="B77" s="124"/>
      <c r="C77" s="642"/>
      <c r="D77" s="125"/>
      <c r="E77" s="95"/>
      <c r="F77" s="62"/>
      <c r="G77" s="105"/>
      <c r="H77" s="98"/>
      <c r="I77" s="62"/>
      <c r="J77" s="103"/>
      <c r="K77" s="96"/>
      <c r="L77" s="627"/>
      <c r="M77" s="103"/>
      <c r="N77" s="657"/>
      <c r="O77" s="80"/>
      <c r="P77" s="105"/>
      <c r="Q77" s="98"/>
      <c r="R77" s="80"/>
      <c r="S77" s="672"/>
      <c r="T77" s="657"/>
      <c r="U77" s="80"/>
      <c r="V77" s="672"/>
      <c r="W77" s="657"/>
      <c r="X77" s="80"/>
      <c r="Y77" s="672"/>
      <c r="Z77" s="96"/>
      <c r="AA77" s="179"/>
      <c r="AB77" s="179"/>
      <c r="AC77" s="179"/>
      <c r="AD77" s="179"/>
      <c r="AE77" s="179"/>
    </row>
    <row r="78" spans="1:31" s="70" customFormat="1" ht="13" thickBot="1">
      <c r="A78" s="35">
        <f t="shared" si="1"/>
        <v>78</v>
      </c>
      <c r="B78" s="126" t="s">
        <v>73</v>
      </c>
      <c r="C78" s="643"/>
      <c r="D78" s="128"/>
      <c r="E78" s="110">
        <f>SUM(E33,E52,E56,E69,E76)</f>
        <v>259066</v>
      </c>
      <c r="F78" s="62"/>
      <c r="G78" s="109"/>
      <c r="H78" s="110">
        <f>SUM(H33,H52,H56,H69,H76)</f>
        <v>270536</v>
      </c>
      <c r="I78" s="62"/>
      <c r="J78" s="109"/>
      <c r="K78" s="110">
        <f>SUM(K33,K52,K56,K69,K76)</f>
        <v>265008</v>
      </c>
      <c r="L78" s="627"/>
      <c r="M78" s="109"/>
      <c r="N78" s="109">
        <f>SUM(N33,N52,N56,N69,N76)</f>
        <v>263308</v>
      </c>
      <c r="O78" s="80"/>
      <c r="P78" s="109"/>
      <c r="Q78" s="110" t="e">
        <f>SUM(Q33,Q52,Q56,Q69,Q76)</f>
        <v>#REF!</v>
      </c>
      <c r="R78" s="80"/>
      <c r="S78" s="673"/>
      <c r="T78" s="109">
        <f>SUM(T33,T52,T56,T69,T76)</f>
        <v>435811</v>
      </c>
      <c r="U78" s="80"/>
      <c r="V78" s="673"/>
      <c r="W78" s="109">
        <f>SUM(W33,W52,W56,W69,W76)</f>
        <v>435311</v>
      </c>
      <c r="X78" s="80"/>
      <c r="Y78" s="673"/>
      <c r="Z78" s="110">
        <f>SUM(Z33,Z52,Z56,Z69,Z76)</f>
        <v>437811</v>
      </c>
      <c r="AA78" s="179"/>
      <c r="AB78" s="179"/>
      <c r="AC78" s="179"/>
      <c r="AD78" s="179"/>
      <c r="AE78" s="179"/>
    </row>
    <row r="79" spans="1:31" s="70" customFormat="1" ht="12">
      <c r="A79" s="35">
        <f t="shared" si="1"/>
        <v>79</v>
      </c>
      <c r="B79" s="129"/>
      <c r="C79" s="100"/>
      <c r="D79" s="119"/>
      <c r="E79" s="114"/>
      <c r="F79" s="62"/>
      <c r="G79" s="66"/>
      <c r="H79" s="66"/>
      <c r="I79" s="62"/>
      <c r="J79" s="63"/>
      <c r="K79" s="115"/>
      <c r="L79" s="627"/>
      <c r="M79" s="63"/>
      <c r="N79" s="661"/>
      <c r="O79" s="80"/>
      <c r="P79" s="682"/>
      <c r="Q79" s="66"/>
      <c r="R79" s="80"/>
      <c r="S79" s="669"/>
      <c r="T79" s="661"/>
      <c r="U79" s="80"/>
      <c r="V79" s="669"/>
      <c r="W79" s="661"/>
      <c r="X79" s="80"/>
      <c r="Y79" s="669"/>
      <c r="Z79" s="115"/>
      <c r="AA79" s="179"/>
      <c r="AB79" s="179"/>
      <c r="AC79" s="179"/>
      <c r="AD79" s="179"/>
      <c r="AE79" s="179"/>
    </row>
    <row r="80" spans="1:31" s="69" customFormat="1" ht="12">
      <c r="A80" s="35">
        <f t="shared" si="1"/>
        <v>80</v>
      </c>
      <c r="B80" s="130" t="s">
        <v>218</v>
      </c>
      <c r="C80" s="131"/>
      <c r="D80" s="132"/>
      <c r="E80" s="577">
        <f>+E30-E78</f>
        <v>-41573</v>
      </c>
      <c r="F80" s="62"/>
      <c r="G80" s="137"/>
      <c r="H80" s="650">
        <f>+H30-H78</f>
        <v>33227</v>
      </c>
      <c r="I80" s="62"/>
      <c r="J80" s="134"/>
      <c r="K80" s="578">
        <f>+K30-K78</f>
        <v>-59508</v>
      </c>
      <c r="L80" s="629"/>
      <c r="M80" s="134"/>
      <c r="N80" s="663">
        <f>+N30-N78</f>
        <v>-35214</v>
      </c>
      <c r="O80" s="344"/>
      <c r="P80" s="446"/>
      <c r="Q80" s="138" t="e">
        <f>+Q30-Q78</f>
        <v>#REF!</v>
      </c>
      <c r="R80" s="344"/>
      <c r="S80" s="134"/>
      <c r="T80" s="663">
        <f>+T30-T78</f>
        <v>-29811</v>
      </c>
      <c r="U80" s="344"/>
      <c r="V80" s="134"/>
      <c r="W80" s="663">
        <f>+W30-W78</f>
        <v>-32311</v>
      </c>
      <c r="X80" s="344"/>
      <c r="Y80" s="134"/>
      <c r="Z80" s="578">
        <f>+Z30-Z78</f>
        <v>-21811</v>
      </c>
      <c r="AA80" s="610"/>
      <c r="AB80" s="610"/>
      <c r="AC80" s="610"/>
      <c r="AD80" s="610"/>
      <c r="AE80" s="610"/>
    </row>
    <row r="81" spans="1:31" s="69" customFormat="1" ht="12">
      <c r="A81" s="35">
        <f t="shared" si="1"/>
        <v>81</v>
      </c>
      <c r="B81" s="566"/>
      <c r="C81" s="567" t="s">
        <v>204</v>
      </c>
      <c r="D81" s="568"/>
      <c r="E81" s="613"/>
      <c r="F81" s="62"/>
      <c r="G81" s="141"/>
      <c r="H81" s="612">
        <v>-11925</v>
      </c>
      <c r="I81" s="62"/>
      <c r="J81" s="140"/>
      <c r="K81" s="615"/>
      <c r="L81" s="629"/>
      <c r="M81" s="140"/>
      <c r="N81" s="664"/>
      <c r="O81" s="344"/>
      <c r="P81" s="446"/>
      <c r="Q81" s="595">
        <f>+K81+N81</f>
        <v>0</v>
      </c>
      <c r="R81" s="344"/>
      <c r="S81" s="140"/>
      <c r="T81" s="664"/>
      <c r="U81" s="344"/>
      <c r="V81" s="140"/>
      <c r="W81" s="664"/>
      <c r="X81" s="344"/>
      <c r="Y81" s="140"/>
      <c r="Z81" s="615"/>
      <c r="AA81" s="610"/>
      <c r="AB81" s="610"/>
      <c r="AC81" s="610"/>
      <c r="AD81" s="610"/>
      <c r="AE81" s="610"/>
    </row>
    <row r="82" spans="1:31" s="70" customFormat="1" ht="12">
      <c r="A82" s="35">
        <f t="shared" si="1"/>
        <v>82</v>
      </c>
      <c r="B82" s="93"/>
      <c r="C82" s="569" t="s">
        <v>215</v>
      </c>
      <c r="D82" s="139"/>
      <c r="E82" s="611">
        <v>-11000</v>
      </c>
      <c r="F82" s="62"/>
      <c r="G82" s="141"/>
      <c r="H82" s="614">
        <v>-5167</v>
      </c>
      <c r="I82" s="62"/>
      <c r="J82" s="140"/>
      <c r="K82" s="616"/>
      <c r="L82" s="627"/>
      <c r="M82" s="140"/>
      <c r="N82" s="665"/>
      <c r="O82" s="80"/>
      <c r="P82" s="446"/>
      <c r="Q82" s="66"/>
      <c r="R82" s="80"/>
      <c r="S82" s="140"/>
      <c r="T82" s="665"/>
      <c r="U82" s="80"/>
      <c r="V82" s="140"/>
      <c r="W82" s="665"/>
      <c r="X82" s="80"/>
      <c r="Y82" s="140"/>
      <c r="Z82" s="616"/>
      <c r="AA82" s="179"/>
      <c r="AB82" s="179"/>
      <c r="AC82" s="179"/>
      <c r="AD82" s="179"/>
      <c r="AE82" s="179"/>
    </row>
    <row r="83" spans="1:31" s="70" customFormat="1" ht="12">
      <c r="A83" s="35">
        <f t="shared" si="1"/>
        <v>83</v>
      </c>
      <c r="B83" s="93"/>
      <c r="C83" s="569" t="s">
        <v>217</v>
      </c>
      <c r="D83" s="139"/>
      <c r="E83" s="114">
        <v>0</v>
      </c>
      <c r="F83" s="62"/>
      <c r="G83" s="141"/>
      <c r="H83" s="595">
        <f>+'EST 2020'!N82</f>
        <v>0</v>
      </c>
      <c r="I83" s="62"/>
      <c r="J83" s="140"/>
      <c r="K83" s="616">
        <v>-30000</v>
      </c>
      <c r="L83" s="627"/>
      <c r="M83" s="140"/>
      <c r="N83" s="665">
        <v>-30000</v>
      </c>
      <c r="O83" s="80"/>
      <c r="P83" s="684"/>
      <c r="Q83" s="66" t="e">
        <f>+#REF!</f>
        <v>#REF!</v>
      </c>
      <c r="R83" s="80"/>
      <c r="S83" s="140"/>
      <c r="T83" s="665"/>
      <c r="U83" s="80"/>
      <c r="V83" s="140"/>
      <c r="W83" s="665"/>
      <c r="X83" s="80"/>
      <c r="Y83" s="140"/>
      <c r="Z83" s="616"/>
      <c r="AA83" s="179"/>
      <c r="AB83" s="179"/>
      <c r="AC83" s="179"/>
      <c r="AD83" s="179"/>
      <c r="AE83" s="179"/>
    </row>
    <row r="84" spans="1:31" s="70" customFormat="1" ht="12">
      <c r="A84" s="35">
        <f t="shared" si="1"/>
        <v>84</v>
      </c>
      <c r="B84" s="590" t="s">
        <v>219</v>
      </c>
      <c r="C84" s="591"/>
      <c r="D84" s="139"/>
      <c r="E84" s="584">
        <f>SUM(E80:E83)</f>
        <v>-52573</v>
      </c>
      <c r="F84" s="62"/>
      <c r="G84" s="141"/>
      <c r="H84" s="584">
        <f>SUM(H80:H83)</f>
        <v>16135</v>
      </c>
      <c r="I84" s="62"/>
      <c r="J84" s="140"/>
      <c r="K84" s="584">
        <f>SUM(K80:K83)</f>
        <v>-89508</v>
      </c>
      <c r="L84" s="627"/>
      <c r="M84" s="140"/>
      <c r="N84" s="666">
        <f>SUM(N80:N83)</f>
        <v>-65214</v>
      </c>
      <c r="O84" s="80"/>
      <c r="P84" s="64"/>
      <c r="Q84" s="666" t="e">
        <f>SUM(Q80:Q83)</f>
        <v>#REF!</v>
      </c>
      <c r="R84" s="80"/>
      <c r="S84" s="140"/>
      <c r="T84" s="666">
        <f>SUM(T80:T83)</f>
        <v>-29811</v>
      </c>
      <c r="U84" s="80"/>
      <c r="V84" s="140"/>
      <c r="W84" s="666">
        <f>SUM(W80:W83)</f>
        <v>-32311</v>
      </c>
      <c r="X84" s="80"/>
      <c r="Y84" s="140"/>
      <c r="Z84" s="584">
        <f>SUM(Z80:Z83)</f>
        <v>-21811</v>
      </c>
      <c r="AA84" s="179"/>
      <c r="AB84" s="179"/>
      <c r="AC84" s="179"/>
      <c r="AD84" s="179"/>
      <c r="AE84" s="179"/>
    </row>
    <row r="85" spans="1:31" s="70" customFormat="1" ht="12">
      <c r="A85" s="35">
        <f t="shared" si="1"/>
        <v>85</v>
      </c>
      <c r="B85" s="93" t="s">
        <v>74</v>
      </c>
      <c r="C85" s="69"/>
      <c r="D85" s="144"/>
      <c r="E85" s="570">
        <v>-50000</v>
      </c>
      <c r="F85" s="62"/>
      <c r="G85" s="141"/>
      <c r="H85" s="617">
        <f>58042-4477</f>
        <v>53565</v>
      </c>
      <c r="I85" s="62"/>
      <c r="J85" s="146"/>
      <c r="K85" s="575">
        <f>700000*0.05</f>
        <v>35000</v>
      </c>
      <c r="L85" s="630">
        <v>0.05</v>
      </c>
      <c r="M85" s="146"/>
      <c r="N85" s="667">
        <f>727000*0.08-160</f>
        <v>58000</v>
      </c>
      <c r="O85" s="80"/>
      <c r="P85" s="683"/>
      <c r="Q85" s="685" t="e">
        <f>+#REF!</f>
        <v>#REF!</v>
      </c>
      <c r="R85" s="80"/>
      <c r="S85" s="146"/>
      <c r="T85" s="667">
        <v>40000</v>
      </c>
      <c r="U85" s="80"/>
      <c r="V85" s="146"/>
      <c r="W85" s="667">
        <v>40000</v>
      </c>
      <c r="X85" s="80"/>
      <c r="Y85" s="146"/>
      <c r="Z85" s="667">
        <v>40000</v>
      </c>
      <c r="AA85" s="179"/>
      <c r="AB85" s="179"/>
      <c r="AC85" s="179"/>
      <c r="AD85" s="179"/>
      <c r="AE85" s="179"/>
    </row>
    <row r="86" spans="1:31" s="69" customFormat="1" ht="13" thickBot="1">
      <c r="A86" s="35">
        <f t="shared" si="1"/>
        <v>86</v>
      </c>
      <c r="B86" s="149" t="s">
        <v>220</v>
      </c>
      <c r="C86" s="150"/>
      <c r="D86" s="151"/>
      <c r="E86" s="508">
        <f>+E84+E85</f>
        <v>-102573</v>
      </c>
      <c r="F86" s="62"/>
      <c r="G86" s="143"/>
      <c r="H86" s="508">
        <f>+H84+H85</f>
        <v>69700</v>
      </c>
      <c r="I86" s="62"/>
      <c r="J86" s="152"/>
      <c r="K86" s="508">
        <f>+K84+K85</f>
        <v>-54508</v>
      </c>
      <c r="L86" s="629"/>
      <c r="M86" s="152"/>
      <c r="N86" s="668">
        <f>+N84+N85</f>
        <v>-7214</v>
      </c>
      <c r="O86" s="74"/>
      <c r="P86" s="80"/>
      <c r="Q86" s="668" t="e">
        <f>+Q84+Q85</f>
        <v>#REF!</v>
      </c>
      <c r="R86" s="74"/>
      <c r="S86" s="152"/>
      <c r="T86" s="668">
        <f>+T84+T85</f>
        <v>10189</v>
      </c>
      <c r="U86" s="74"/>
      <c r="V86" s="152"/>
      <c r="W86" s="668">
        <f>+W84+W85</f>
        <v>7689</v>
      </c>
      <c r="X86" s="74"/>
      <c r="Y86" s="152"/>
      <c r="Z86" s="508">
        <f>+Z84+Z85</f>
        <v>18189</v>
      </c>
      <c r="AA86" s="610"/>
      <c r="AB86" s="610"/>
      <c r="AC86" s="610"/>
      <c r="AD86" s="610"/>
      <c r="AE86" s="610"/>
    </row>
    <row r="87" spans="1:31" s="69" customFormat="1" ht="13" thickTop="1">
      <c r="A87" s="35"/>
      <c r="B87" s="153"/>
      <c r="C87" s="153"/>
      <c r="D87" s="84"/>
      <c r="E87" s="242">
        <v>2020</v>
      </c>
      <c r="G87" s="152"/>
      <c r="H87" s="242">
        <v>2020</v>
      </c>
      <c r="I87" s="610"/>
      <c r="J87" s="610"/>
      <c r="K87" s="242">
        <v>2021</v>
      </c>
      <c r="L87" s="629"/>
      <c r="M87" s="610"/>
      <c r="N87" s="242">
        <v>2021</v>
      </c>
      <c r="O87" s="658"/>
      <c r="Q87" s="157" t="s">
        <v>79</v>
      </c>
      <c r="R87" s="658"/>
      <c r="S87" s="649"/>
      <c r="T87" s="242">
        <v>2022</v>
      </c>
      <c r="U87" s="658"/>
      <c r="V87" s="649"/>
      <c r="W87" s="242">
        <v>2023</v>
      </c>
      <c r="X87" s="658"/>
      <c r="Y87" s="649"/>
      <c r="Z87" s="242">
        <v>2024</v>
      </c>
      <c r="AA87" s="610"/>
      <c r="AB87" s="610"/>
      <c r="AC87" s="610"/>
      <c r="AD87" s="610"/>
      <c r="AE87" s="610"/>
    </row>
    <row r="88" spans="1:31" s="69" customFormat="1" ht="12">
      <c r="A88" s="35"/>
      <c r="B88" s="153"/>
      <c r="C88" s="243"/>
      <c r="D88" s="84"/>
      <c r="E88" s="242" t="s">
        <v>203</v>
      </c>
      <c r="F88" s="154"/>
      <c r="H88" s="242" t="s">
        <v>0</v>
      </c>
      <c r="I88" s="154"/>
      <c r="J88" s="155"/>
      <c r="K88" s="242" t="s">
        <v>227</v>
      </c>
      <c r="L88" s="629"/>
      <c r="M88" s="155"/>
      <c r="N88" s="242" t="s">
        <v>228</v>
      </c>
      <c r="O88" s="658"/>
      <c r="P88" s="683"/>
      <c r="Q88" s="157"/>
      <c r="R88" s="658"/>
      <c r="S88" s="155"/>
      <c r="T88" s="242" t="s">
        <v>7</v>
      </c>
      <c r="U88" s="658"/>
      <c r="V88" s="155"/>
      <c r="W88" s="242" t="s">
        <v>7</v>
      </c>
      <c r="X88" s="658"/>
      <c r="Y88" s="155"/>
      <c r="Z88" s="242" t="s">
        <v>7</v>
      </c>
      <c r="AA88" s="610"/>
      <c r="AB88" s="610"/>
      <c r="AC88" s="610"/>
      <c r="AD88" s="610"/>
      <c r="AE88" s="610"/>
    </row>
    <row r="89" spans="1:31" s="69" customFormat="1" ht="15" thickBot="1">
      <c r="A89" s="35"/>
      <c r="B89" s="153"/>
      <c r="C89" s="243"/>
      <c r="D89" s="84"/>
      <c r="E89" s="242"/>
      <c r="F89" s="154"/>
      <c r="H89" s="242"/>
      <c r="I89" s="154"/>
      <c r="J89" s="155"/>
      <c r="K89" s="242"/>
      <c r="L89" s="629"/>
      <c r="M89" s="155"/>
      <c r="N89" s="242"/>
      <c r="O89" s="658"/>
      <c r="P89" s="59"/>
      <c r="Q89" s="59"/>
      <c r="R89" s="658"/>
      <c r="S89" s="155"/>
      <c r="T89" s="242"/>
      <c r="U89" s="658"/>
      <c r="V89" s="155"/>
      <c r="W89" s="242"/>
      <c r="X89" s="658"/>
      <c r="Y89" s="155"/>
      <c r="Z89" s="242"/>
      <c r="AA89" s="610"/>
      <c r="AB89" s="610"/>
      <c r="AC89" s="610"/>
      <c r="AD89" s="610"/>
      <c r="AE89" s="610"/>
    </row>
    <row r="90" spans="1:31" s="69" customFormat="1" ht="15" customHeight="1" thickBot="1">
      <c r="A90" s="35"/>
      <c r="B90" s="618" t="s">
        <v>221</v>
      </c>
      <c r="C90" s="619"/>
      <c r="D90" s="620"/>
      <c r="E90" s="621"/>
      <c r="F90" s="622"/>
      <c r="G90" s="623"/>
      <c r="H90" s="624"/>
      <c r="I90" s="622"/>
      <c r="J90" s="625"/>
      <c r="K90" s="619"/>
      <c r="L90" s="654">
        <v>100000</v>
      </c>
      <c r="M90" s="155"/>
      <c r="O90" s="164"/>
      <c r="P90" s="165"/>
      <c r="Q90" s="165"/>
      <c r="R90" s="164"/>
      <c r="S90" s="155"/>
      <c r="U90" s="164"/>
      <c r="V90" s="155"/>
      <c r="X90" s="164"/>
      <c r="Y90" s="155"/>
      <c r="AA90" s="610"/>
      <c r="AB90" s="610"/>
      <c r="AC90" s="610"/>
      <c r="AD90" s="610"/>
      <c r="AE90" s="610"/>
    </row>
    <row r="91" spans="1:31" ht="15" customHeight="1">
      <c r="B91" s="69"/>
      <c r="C91" s="153"/>
      <c r="F91" s="165"/>
      <c r="G91" s="165"/>
      <c r="H91" s="165"/>
      <c r="I91" s="165"/>
      <c r="P91" s="165"/>
      <c r="Q91" s="165"/>
    </row>
    <row r="92" spans="1:31">
      <c r="B92" s="572"/>
      <c r="C92" s="573"/>
      <c r="F92" s="165"/>
      <c r="G92" s="165"/>
      <c r="H92" s="165"/>
      <c r="I92" s="165"/>
      <c r="P92" s="165"/>
      <c r="Q92" s="165"/>
    </row>
    <row r="93" spans="1:31">
      <c r="B93" s="69"/>
      <c r="C93" s="244"/>
      <c r="E93" s="69"/>
      <c r="G93" s="165"/>
      <c r="H93" s="165"/>
      <c r="P93" s="165"/>
      <c r="Q93" s="165"/>
    </row>
    <row r="94" spans="1:31">
      <c r="B94" s="69"/>
      <c r="C94" s="167"/>
      <c r="E94" s="69"/>
      <c r="G94" s="165"/>
      <c r="H94" s="165"/>
      <c r="P94" s="165"/>
      <c r="Q94" s="165"/>
    </row>
    <row r="95" spans="1:31">
      <c r="B95" s="69"/>
      <c r="C95" s="167"/>
      <c r="E95" s="168"/>
      <c r="G95" s="165"/>
      <c r="H95" s="165"/>
      <c r="P95" s="165"/>
      <c r="Q95" s="165"/>
    </row>
    <row r="96" spans="1:31">
      <c r="B96" s="69"/>
      <c r="C96" s="167"/>
      <c r="G96" s="165"/>
      <c r="H96" s="165"/>
      <c r="P96" s="165"/>
      <c r="Q96" s="165"/>
    </row>
    <row r="97" spans="2:17">
      <c r="B97" s="69"/>
      <c r="C97" s="167"/>
      <c r="G97" s="165"/>
      <c r="H97" s="165"/>
      <c r="P97" s="165"/>
      <c r="Q97" s="165"/>
    </row>
    <row r="98" spans="2:17">
      <c r="B98" s="69"/>
      <c r="C98" s="167"/>
      <c r="G98" s="165"/>
      <c r="H98" s="165"/>
      <c r="P98" s="165"/>
      <c r="Q98" s="165"/>
    </row>
    <row r="99" spans="2:17">
      <c r="B99" s="69"/>
      <c r="C99" s="167"/>
      <c r="G99" s="165"/>
      <c r="H99" s="165"/>
      <c r="P99" s="165"/>
      <c r="Q99" s="165"/>
    </row>
    <row r="100" spans="2:17">
      <c r="B100" s="69"/>
      <c r="C100" s="167"/>
      <c r="G100" s="165"/>
      <c r="H100" s="165"/>
      <c r="P100" s="165"/>
      <c r="Q100" s="165"/>
    </row>
    <row r="101" spans="2:17">
      <c r="B101" s="69"/>
      <c r="C101" s="167"/>
      <c r="G101" s="165"/>
      <c r="H101" s="165"/>
      <c r="P101" s="165"/>
      <c r="Q101" s="165"/>
    </row>
    <row r="102" spans="2:17">
      <c r="B102" s="69"/>
      <c r="C102" s="167"/>
      <c r="G102" s="165"/>
      <c r="H102" s="165"/>
      <c r="P102" s="165"/>
      <c r="Q102" s="165"/>
    </row>
    <row r="103" spans="2:17">
      <c r="B103" s="69"/>
      <c r="C103" s="167"/>
      <c r="G103" s="165"/>
      <c r="H103" s="165"/>
      <c r="P103" s="165"/>
      <c r="Q103" s="165"/>
    </row>
    <row r="104" spans="2:17">
      <c r="B104" s="69"/>
      <c r="C104" s="167"/>
      <c r="G104" s="165"/>
      <c r="H104" s="165"/>
      <c r="P104" s="165"/>
      <c r="Q104" s="165"/>
    </row>
    <row r="105" spans="2:17">
      <c r="B105" s="69"/>
      <c r="C105" s="167"/>
      <c r="G105" s="165"/>
      <c r="H105" s="165"/>
      <c r="P105" s="165"/>
      <c r="Q105" s="165"/>
    </row>
    <row r="106" spans="2:17">
      <c r="B106" s="69"/>
      <c r="C106" s="167"/>
      <c r="G106" s="165"/>
      <c r="H106" s="165"/>
      <c r="P106" s="165"/>
      <c r="Q106" s="165"/>
    </row>
    <row r="107" spans="2:17">
      <c r="B107" s="69"/>
      <c r="C107" s="167"/>
      <c r="G107" s="165"/>
      <c r="H107" s="165"/>
      <c r="P107" s="165"/>
      <c r="Q107" s="165"/>
    </row>
    <row r="108" spans="2:17">
      <c r="B108" s="69"/>
      <c r="C108" s="167"/>
      <c r="G108" s="165"/>
      <c r="H108" s="165"/>
      <c r="P108" s="165"/>
      <c r="Q108" s="165"/>
    </row>
    <row r="109" spans="2:17">
      <c r="B109" s="69"/>
      <c r="C109" s="167"/>
      <c r="G109" s="165"/>
      <c r="H109" s="165"/>
      <c r="P109" s="165"/>
      <c r="Q109" s="165"/>
    </row>
    <row r="110" spans="2:17">
      <c r="B110" s="69"/>
      <c r="C110" s="167"/>
      <c r="G110" s="165"/>
      <c r="H110" s="165"/>
      <c r="P110" s="165"/>
      <c r="Q110" s="165"/>
    </row>
    <row r="111" spans="2:17">
      <c r="B111" s="69"/>
      <c r="C111" s="167"/>
      <c r="G111" s="165"/>
      <c r="H111" s="165"/>
      <c r="P111" s="165"/>
      <c r="Q111" s="165"/>
    </row>
    <row r="112" spans="2:17">
      <c r="B112" s="69"/>
      <c r="C112" s="167"/>
      <c r="G112" s="165"/>
      <c r="H112" s="165"/>
    </row>
    <row r="113" spans="2:17">
      <c r="B113" s="69"/>
      <c r="C113" s="167"/>
      <c r="G113" s="165"/>
      <c r="H113" s="165"/>
      <c r="P113" s="165"/>
      <c r="Q113" s="165"/>
    </row>
    <row r="114" spans="2:17">
      <c r="B114" s="69"/>
      <c r="C114" s="167"/>
      <c r="G114" s="165"/>
      <c r="H114" s="165"/>
      <c r="P114" s="165"/>
      <c r="Q114" s="165"/>
    </row>
    <row r="115" spans="2:17">
      <c r="B115" s="69"/>
      <c r="C115" s="167"/>
      <c r="G115" s="165"/>
      <c r="H115" s="165"/>
    </row>
    <row r="116" spans="2:17">
      <c r="B116" s="69"/>
      <c r="C116" s="167"/>
      <c r="G116" s="165"/>
      <c r="H116" s="165"/>
    </row>
    <row r="117" spans="2:17">
      <c r="B117" s="69"/>
      <c r="C117" s="167"/>
    </row>
    <row r="118" spans="2:17">
      <c r="B118" s="69"/>
      <c r="C118" s="167"/>
    </row>
    <row r="119" spans="2:17">
      <c r="B119" s="69"/>
      <c r="C119" s="167"/>
    </row>
    <row r="120" spans="2:17">
      <c r="B120" s="69"/>
      <c r="C120" s="167"/>
    </row>
    <row r="121" spans="2:17">
      <c r="B121" s="69"/>
      <c r="C121" s="167"/>
    </row>
    <row r="122" spans="2:17">
      <c r="B122" s="69"/>
      <c r="C122" s="167"/>
    </row>
    <row r="123" spans="2:17">
      <c r="B123" s="69"/>
      <c r="C123" s="167"/>
    </row>
    <row r="124" spans="2:17">
      <c r="B124" s="69"/>
      <c r="C124" s="167"/>
    </row>
    <row r="125" spans="2:17">
      <c r="B125" s="69"/>
      <c r="C125" s="167"/>
    </row>
    <row r="126" spans="2:17">
      <c r="B126" s="69"/>
      <c r="C126" s="167"/>
    </row>
    <row r="127" spans="2:17">
      <c r="B127" s="69"/>
      <c r="C127" s="16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F129"/>
  <sheetViews>
    <sheetView view="pageBreakPreview" zoomScale="80" zoomScaleNormal="160" zoomScaleSheetLayoutView="80" zoomScalePageLayoutView="160" workbookViewId="0">
      <pane xSplit="4" ySplit="3" topLeftCell="K45" activePane="bottomRight" state="frozen"/>
      <selection pane="topRight" activeCell="E1" sqref="E1"/>
      <selection pane="bottomLeft" activeCell="A4" sqref="A4"/>
      <selection pane="bottomRight" activeCell="X85" sqref="X85"/>
    </sheetView>
  </sheetViews>
  <sheetFormatPr baseColWidth="10" defaultColWidth="8.83203125" defaultRowHeight="14" x14ac:dyDescent="0"/>
  <cols>
    <col min="1" max="1" width="4" style="35" customWidth="1"/>
    <col min="2" max="2" width="19" style="169" customWidth="1"/>
    <col min="3" max="3" width="43.6640625" style="153" customWidth="1"/>
    <col min="4" max="4" width="13.6640625" style="153" customWidth="1"/>
    <col min="5" max="5" width="16.33203125" style="368" hidden="1" customWidth="1"/>
    <col min="6" max="6" width="16" style="162" hidden="1" customWidth="1"/>
    <col min="7" max="7" width="6.5" style="311" hidden="1" customWidth="1"/>
    <col min="8" max="8" width="14.33203125" style="220" hidden="1" customWidth="1"/>
    <col min="9" max="9" width="14" style="219" hidden="1" customWidth="1"/>
    <col min="10" max="10" width="3.5" style="42" hidden="1" customWidth="1"/>
    <col min="11" max="11" width="14.33203125" style="220" customWidth="1"/>
    <col min="12" max="12" width="14" style="219" customWidth="1"/>
    <col min="13" max="13" width="3.5" style="42" customWidth="1"/>
    <col min="14" max="14" width="15.5" style="368" customWidth="1"/>
    <col min="15" max="15" width="15.5" style="162" customWidth="1"/>
    <col min="16" max="16" width="4.33203125" style="174" customWidth="1"/>
    <col min="17" max="17" width="13.5" style="469" customWidth="1"/>
    <col min="18" max="18" width="12.83203125" style="469" customWidth="1"/>
    <col min="19" max="19" width="1.83203125" style="469" customWidth="1"/>
    <col min="20" max="20" width="12.83203125" style="368" customWidth="1"/>
    <col min="21" max="21" width="16.5" style="162" customWidth="1"/>
    <col min="22" max="22" width="14.1640625" style="174" hidden="1" customWidth="1"/>
    <col min="23" max="23" width="4" style="35" customWidth="1"/>
    <col min="24" max="24" width="77.5" style="524" customWidth="1"/>
    <col min="25" max="58" width="8.83203125" style="174"/>
    <col min="181" max="181" width="33" customWidth="1"/>
    <col min="182" max="182" width="47.5" customWidth="1"/>
    <col min="183" max="183" width="3" customWidth="1"/>
    <col min="184" max="185" width="17.1640625" customWidth="1"/>
    <col min="186" max="186" width="12.5" customWidth="1"/>
    <col min="187" max="187" width="14.5" customWidth="1"/>
    <col min="188" max="188" width="2.5" customWidth="1"/>
    <col min="189" max="189" width="0" hidden="1" customWidth="1"/>
    <col min="190" max="190" width="12" customWidth="1"/>
    <col min="191" max="191" width="2.83203125" customWidth="1"/>
    <col min="192" max="192" width="10.5" customWidth="1"/>
    <col min="193" max="193" width="16.5" customWidth="1"/>
    <col min="194" max="194" width="41.83203125" customWidth="1"/>
    <col min="195" max="195" width="4" customWidth="1"/>
    <col min="196" max="196" width="11.5" customWidth="1"/>
    <col min="437" max="437" width="33" customWidth="1"/>
    <col min="438" max="438" width="47.5" customWidth="1"/>
    <col min="439" max="439" width="3" customWidth="1"/>
    <col min="440" max="441" width="17.1640625" customWidth="1"/>
    <col min="442" max="442" width="12.5" customWidth="1"/>
    <col min="443" max="443" width="14.5" customWidth="1"/>
    <col min="444" max="444" width="2.5" customWidth="1"/>
    <col min="445" max="445" width="0" hidden="1" customWidth="1"/>
    <col min="446" max="446" width="12" customWidth="1"/>
    <col min="447" max="447" width="2.83203125" customWidth="1"/>
    <col min="448" max="448" width="10.5" customWidth="1"/>
    <col min="449" max="449" width="16.5" customWidth="1"/>
    <col min="450" max="450" width="41.83203125" customWidth="1"/>
    <col min="451" max="451" width="4" customWidth="1"/>
    <col min="452" max="452" width="11.5" customWidth="1"/>
    <col min="693" max="693" width="33" customWidth="1"/>
    <col min="694" max="694" width="47.5" customWidth="1"/>
    <col min="695" max="695" width="3" customWidth="1"/>
    <col min="696" max="697" width="17.1640625" customWidth="1"/>
    <col min="698" max="698" width="12.5" customWidth="1"/>
    <col min="699" max="699" width="14.5" customWidth="1"/>
    <col min="700" max="700" width="2.5" customWidth="1"/>
    <col min="701" max="701" width="0" hidden="1" customWidth="1"/>
    <col min="702" max="702" width="12" customWidth="1"/>
    <col min="703" max="703" width="2.83203125" customWidth="1"/>
    <col min="704" max="704" width="10.5" customWidth="1"/>
    <col min="705" max="705" width="16.5" customWidth="1"/>
    <col min="706" max="706" width="41.83203125" customWidth="1"/>
    <col min="707" max="707" width="4" customWidth="1"/>
    <col min="708" max="708" width="11.5" customWidth="1"/>
    <col min="949" max="949" width="33" customWidth="1"/>
    <col min="950" max="950" width="47.5" customWidth="1"/>
    <col min="951" max="951" width="3" customWidth="1"/>
    <col min="952" max="953" width="17.1640625" customWidth="1"/>
    <col min="954" max="954" width="12.5" customWidth="1"/>
    <col min="955" max="955" width="14.5" customWidth="1"/>
    <col min="956" max="956" width="2.5" customWidth="1"/>
    <col min="957" max="957" width="0" hidden="1" customWidth="1"/>
    <col min="958" max="958" width="12" customWidth="1"/>
    <col min="959" max="959" width="2.83203125" customWidth="1"/>
    <col min="960" max="960" width="10.5" customWidth="1"/>
    <col min="961" max="961" width="16.5" customWidth="1"/>
    <col min="962" max="962" width="41.83203125" customWidth="1"/>
    <col min="963" max="963" width="4" customWidth="1"/>
    <col min="964" max="964" width="11.5" customWidth="1"/>
    <col min="1205" max="1205" width="33" customWidth="1"/>
    <col min="1206" max="1206" width="47.5" customWidth="1"/>
    <col min="1207" max="1207" width="3" customWidth="1"/>
    <col min="1208" max="1209" width="17.1640625" customWidth="1"/>
    <col min="1210" max="1210" width="12.5" customWidth="1"/>
    <col min="1211" max="1211" width="14.5" customWidth="1"/>
    <col min="1212" max="1212" width="2.5" customWidth="1"/>
    <col min="1213" max="1213" width="0" hidden="1" customWidth="1"/>
    <col min="1214" max="1214" width="12" customWidth="1"/>
    <col min="1215" max="1215" width="2.83203125" customWidth="1"/>
    <col min="1216" max="1216" width="10.5" customWidth="1"/>
    <col min="1217" max="1217" width="16.5" customWidth="1"/>
    <col min="1218" max="1218" width="41.83203125" customWidth="1"/>
    <col min="1219" max="1219" width="4" customWidth="1"/>
    <col min="1220" max="1220" width="11.5" customWidth="1"/>
    <col min="1461" max="1461" width="33" customWidth="1"/>
    <col min="1462" max="1462" width="47.5" customWidth="1"/>
    <col min="1463" max="1463" width="3" customWidth="1"/>
    <col min="1464" max="1465" width="17.1640625" customWidth="1"/>
    <col min="1466" max="1466" width="12.5" customWidth="1"/>
    <col min="1467" max="1467" width="14.5" customWidth="1"/>
    <col min="1468" max="1468" width="2.5" customWidth="1"/>
    <col min="1469" max="1469" width="0" hidden="1" customWidth="1"/>
    <col min="1470" max="1470" width="12" customWidth="1"/>
    <col min="1471" max="1471" width="2.83203125" customWidth="1"/>
    <col min="1472" max="1472" width="10.5" customWidth="1"/>
    <col min="1473" max="1473" width="16.5" customWidth="1"/>
    <col min="1474" max="1474" width="41.83203125" customWidth="1"/>
    <col min="1475" max="1475" width="4" customWidth="1"/>
    <col min="1476" max="1476" width="11.5" customWidth="1"/>
    <col min="1717" max="1717" width="33" customWidth="1"/>
    <col min="1718" max="1718" width="47.5" customWidth="1"/>
    <col min="1719" max="1719" width="3" customWidth="1"/>
    <col min="1720" max="1721" width="17.1640625" customWidth="1"/>
    <col min="1722" max="1722" width="12.5" customWidth="1"/>
    <col min="1723" max="1723" width="14.5" customWidth="1"/>
    <col min="1724" max="1724" width="2.5" customWidth="1"/>
    <col min="1725" max="1725" width="0" hidden="1" customWidth="1"/>
    <col min="1726" max="1726" width="12" customWidth="1"/>
    <col min="1727" max="1727" width="2.83203125" customWidth="1"/>
    <col min="1728" max="1728" width="10.5" customWidth="1"/>
    <col min="1729" max="1729" width="16.5" customWidth="1"/>
    <col min="1730" max="1730" width="41.83203125" customWidth="1"/>
    <col min="1731" max="1731" width="4" customWidth="1"/>
    <col min="1732" max="1732" width="11.5" customWidth="1"/>
    <col min="1973" max="1973" width="33" customWidth="1"/>
    <col min="1974" max="1974" width="47.5" customWidth="1"/>
    <col min="1975" max="1975" width="3" customWidth="1"/>
    <col min="1976" max="1977" width="17.1640625" customWidth="1"/>
    <col min="1978" max="1978" width="12.5" customWidth="1"/>
    <col min="1979" max="1979" width="14.5" customWidth="1"/>
    <col min="1980" max="1980" width="2.5" customWidth="1"/>
    <col min="1981" max="1981" width="0" hidden="1" customWidth="1"/>
    <col min="1982" max="1982" width="12" customWidth="1"/>
    <col min="1983" max="1983" width="2.83203125" customWidth="1"/>
    <col min="1984" max="1984" width="10.5" customWidth="1"/>
    <col min="1985" max="1985" width="16.5" customWidth="1"/>
    <col min="1986" max="1986" width="41.83203125" customWidth="1"/>
    <col min="1987" max="1987" width="4" customWidth="1"/>
    <col min="1988" max="1988" width="11.5" customWidth="1"/>
    <col min="2229" max="2229" width="33" customWidth="1"/>
    <col min="2230" max="2230" width="47.5" customWidth="1"/>
    <col min="2231" max="2231" width="3" customWidth="1"/>
    <col min="2232" max="2233" width="17.1640625" customWidth="1"/>
    <col min="2234" max="2234" width="12.5" customWidth="1"/>
    <col min="2235" max="2235" width="14.5" customWidth="1"/>
    <col min="2236" max="2236" width="2.5" customWidth="1"/>
    <col min="2237" max="2237" width="0" hidden="1" customWidth="1"/>
    <col min="2238" max="2238" width="12" customWidth="1"/>
    <col min="2239" max="2239" width="2.83203125" customWidth="1"/>
    <col min="2240" max="2240" width="10.5" customWidth="1"/>
    <col min="2241" max="2241" width="16.5" customWidth="1"/>
    <col min="2242" max="2242" width="41.83203125" customWidth="1"/>
    <col min="2243" max="2243" width="4" customWidth="1"/>
    <col min="2244" max="2244" width="11.5" customWidth="1"/>
    <col min="2485" max="2485" width="33" customWidth="1"/>
    <col min="2486" max="2486" width="47.5" customWidth="1"/>
    <col min="2487" max="2487" width="3" customWidth="1"/>
    <col min="2488" max="2489" width="17.1640625" customWidth="1"/>
    <col min="2490" max="2490" width="12.5" customWidth="1"/>
    <col min="2491" max="2491" width="14.5" customWidth="1"/>
    <col min="2492" max="2492" width="2.5" customWidth="1"/>
    <col min="2493" max="2493" width="0" hidden="1" customWidth="1"/>
    <col min="2494" max="2494" width="12" customWidth="1"/>
    <col min="2495" max="2495" width="2.83203125" customWidth="1"/>
    <col min="2496" max="2496" width="10.5" customWidth="1"/>
    <col min="2497" max="2497" width="16.5" customWidth="1"/>
    <col min="2498" max="2498" width="41.83203125" customWidth="1"/>
    <col min="2499" max="2499" width="4" customWidth="1"/>
    <col min="2500" max="2500" width="11.5" customWidth="1"/>
    <col min="2741" max="2741" width="33" customWidth="1"/>
    <col min="2742" max="2742" width="47.5" customWidth="1"/>
    <col min="2743" max="2743" width="3" customWidth="1"/>
    <col min="2744" max="2745" width="17.1640625" customWidth="1"/>
    <col min="2746" max="2746" width="12.5" customWidth="1"/>
    <col min="2747" max="2747" width="14.5" customWidth="1"/>
    <col min="2748" max="2748" width="2.5" customWidth="1"/>
    <col min="2749" max="2749" width="0" hidden="1" customWidth="1"/>
    <col min="2750" max="2750" width="12" customWidth="1"/>
    <col min="2751" max="2751" width="2.83203125" customWidth="1"/>
    <col min="2752" max="2752" width="10.5" customWidth="1"/>
    <col min="2753" max="2753" width="16.5" customWidth="1"/>
    <col min="2754" max="2754" width="41.83203125" customWidth="1"/>
    <col min="2755" max="2755" width="4" customWidth="1"/>
    <col min="2756" max="2756" width="11.5" customWidth="1"/>
    <col min="2997" max="2997" width="33" customWidth="1"/>
    <col min="2998" max="2998" width="47.5" customWidth="1"/>
    <col min="2999" max="2999" width="3" customWidth="1"/>
    <col min="3000" max="3001" width="17.1640625" customWidth="1"/>
    <col min="3002" max="3002" width="12.5" customWidth="1"/>
    <col min="3003" max="3003" width="14.5" customWidth="1"/>
    <col min="3004" max="3004" width="2.5" customWidth="1"/>
    <col min="3005" max="3005" width="0" hidden="1" customWidth="1"/>
    <col min="3006" max="3006" width="12" customWidth="1"/>
    <col min="3007" max="3007" width="2.83203125" customWidth="1"/>
    <col min="3008" max="3008" width="10.5" customWidth="1"/>
    <col min="3009" max="3009" width="16.5" customWidth="1"/>
    <col min="3010" max="3010" width="41.83203125" customWidth="1"/>
    <col min="3011" max="3011" width="4" customWidth="1"/>
    <col min="3012" max="3012" width="11.5" customWidth="1"/>
    <col min="3253" max="3253" width="33" customWidth="1"/>
    <col min="3254" max="3254" width="47.5" customWidth="1"/>
    <col min="3255" max="3255" width="3" customWidth="1"/>
    <col min="3256" max="3257" width="17.1640625" customWidth="1"/>
    <col min="3258" max="3258" width="12.5" customWidth="1"/>
    <col min="3259" max="3259" width="14.5" customWidth="1"/>
    <col min="3260" max="3260" width="2.5" customWidth="1"/>
    <col min="3261" max="3261" width="0" hidden="1" customWidth="1"/>
    <col min="3262" max="3262" width="12" customWidth="1"/>
    <col min="3263" max="3263" width="2.83203125" customWidth="1"/>
    <col min="3264" max="3264" width="10.5" customWidth="1"/>
    <col min="3265" max="3265" width="16.5" customWidth="1"/>
    <col min="3266" max="3266" width="41.83203125" customWidth="1"/>
    <col min="3267" max="3267" width="4" customWidth="1"/>
    <col min="3268" max="3268" width="11.5" customWidth="1"/>
    <col min="3509" max="3509" width="33" customWidth="1"/>
    <col min="3510" max="3510" width="47.5" customWidth="1"/>
    <col min="3511" max="3511" width="3" customWidth="1"/>
    <col min="3512" max="3513" width="17.1640625" customWidth="1"/>
    <col min="3514" max="3514" width="12.5" customWidth="1"/>
    <col min="3515" max="3515" width="14.5" customWidth="1"/>
    <col min="3516" max="3516" width="2.5" customWidth="1"/>
    <col min="3517" max="3517" width="0" hidden="1" customWidth="1"/>
    <col min="3518" max="3518" width="12" customWidth="1"/>
    <col min="3519" max="3519" width="2.83203125" customWidth="1"/>
    <col min="3520" max="3520" width="10.5" customWidth="1"/>
    <col min="3521" max="3521" width="16.5" customWidth="1"/>
    <col min="3522" max="3522" width="41.83203125" customWidth="1"/>
    <col min="3523" max="3523" width="4" customWidth="1"/>
    <col min="3524" max="3524" width="11.5" customWidth="1"/>
    <col min="3765" max="3765" width="33" customWidth="1"/>
    <col min="3766" max="3766" width="47.5" customWidth="1"/>
    <col min="3767" max="3767" width="3" customWidth="1"/>
    <col min="3768" max="3769" width="17.1640625" customWidth="1"/>
    <col min="3770" max="3770" width="12.5" customWidth="1"/>
    <col min="3771" max="3771" width="14.5" customWidth="1"/>
    <col min="3772" max="3772" width="2.5" customWidth="1"/>
    <col min="3773" max="3773" width="0" hidden="1" customWidth="1"/>
    <col min="3774" max="3774" width="12" customWidth="1"/>
    <col min="3775" max="3775" width="2.83203125" customWidth="1"/>
    <col min="3776" max="3776" width="10.5" customWidth="1"/>
    <col min="3777" max="3777" width="16.5" customWidth="1"/>
    <col min="3778" max="3778" width="41.83203125" customWidth="1"/>
    <col min="3779" max="3779" width="4" customWidth="1"/>
    <col min="3780" max="3780" width="11.5" customWidth="1"/>
    <col min="4021" max="4021" width="33" customWidth="1"/>
    <col min="4022" max="4022" width="47.5" customWidth="1"/>
    <col min="4023" max="4023" width="3" customWidth="1"/>
    <col min="4024" max="4025" width="17.1640625" customWidth="1"/>
    <col min="4026" max="4026" width="12.5" customWidth="1"/>
    <col min="4027" max="4027" width="14.5" customWidth="1"/>
    <col min="4028" max="4028" width="2.5" customWidth="1"/>
    <col min="4029" max="4029" width="0" hidden="1" customWidth="1"/>
    <col min="4030" max="4030" width="12" customWidth="1"/>
    <col min="4031" max="4031" width="2.83203125" customWidth="1"/>
    <col min="4032" max="4032" width="10.5" customWidth="1"/>
    <col min="4033" max="4033" width="16.5" customWidth="1"/>
    <col min="4034" max="4034" width="41.83203125" customWidth="1"/>
    <col min="4035" max="4035" width="4" customWidth="1"/>
    <col min="4036" max="4036" width="11.5" customWidth="1"/>
    <col min="4277" max="4277" width="33" customWidth="1"/>
    <col min="4278" max="4278" width="47.5" customWidth="1"/>
    <col min="4279" max="4279" width="3" customWidth="1"/>
    <col min="4280" max="4281" width="17.1640625" customWidth="1"/>
    <col min="4282" max="4282" width="12.5" customWidth="1"/>
    <col min="4283" max="4283" width="14.5" customWidth="1"/>
    <col min="4284" max="4284" width="2.5" customWidth="1"/>
    <col min="4285" max="4285" width="0" hidden="1" customWidth="1"/>
    <col min="4286" max="4286" width="12" customWidth="1"/>
    <col min="4287" max="4287" width="2.83203125" customWidth="1"/>
    <col min="4288" max="4288" width="10.5" customWidth="1"/>
    <col min="4289" max="4289" width="16.5" customWidth="1"/>
    <col min="4290" max="4290" width="41.83203125" customWidth="1"/>
    <col min="4291" max="4291" width="4" customWidth="1"/>
    <col min="4292" max="4292" width="11.5" customWidth="1"/>
    <col min="4533" max="4533" width="33" customWidth="1"/>
    <col min="4534" max="4534" width="47.5" customWidth="1"/>
    <col min="4535" max="4535" width="3" customWidth="1"/>
    <col min="4536" max="4537" width="17.1640625" customWidth="1"/>
    <col min="4538" max="4538" width="12.5" customWidth="1"/>
    <col min="4539" max="4539" width="14.5" customWidth="1"/>
    <col min="4540" max="4540" width="2.5" customWidth="1"/>
    <col min="4541" max="4541" width="0" hidden="1" customWidth="1"/>
    <col min="4542" max="4542" width="12" customWidth="1"/>
    <col min="4543" max="4543" width="2.83203125" customWidth="1"/>
    <col min="4544" max="4544" width="10.5" customWidth="1"/>
    <col min="4545" max="4545" width="16.5" customWidth="1"/>
    <col min="4546" max="4546" width="41.83203125" customWidth="1"/>
    <col min="4547" max="4547" width="4" customWidth="1"/>
    <col min="4548" max="4548" width="11.5" customWidth="1"/>
    <col min="4789" max="4789" width="33" customWidth="1"/>
    <col min="4790" max="4790" width="47.5" customWidth="1"/>
    <col min="4791" max="4791" width="3" customWidth="1"/>
    <col min="4792" max="4793" width="17.1640625" customWidth="1"/>
    <col min="4794" max="4794" width="12.5" customWidth="1"/>
    <col min="4795" max="4795" width="14.5" customWidth="1"/>
    <col min="4796" max="4796" width="2.5" customWidth="1"/>
    <col min="4797" max="4797" width="0" hidden="1" customWidth="1"/>
    <col min="4798" max="4798" width="12" customWidth="1"/>
    <col min="4799" max="4799" width="2.83203125" customWidth="1"/>
    <col min="4800" max="4800" width="10.5" customWidth="1"/>
    <col min="4801" max="4801" width="16.5" customWidth="1"/>
    <col min="4802" max="4802" width="41.83203125" customWidth="1"/>
    <col min="4803" max="4803" width="4" customWidth="1"/>
    <col min="4804" max="4804" width="11.5" customWidth="1"/>
    <col min="5045" max="5045" width="33" customWidth="1"/>
    <col min="5046" max="5046" width="47.5" customWidth="1"/>
    <col min="5047" max="5047" width="3" customWidth="1"/>
    <col min="5048" max="5049" width="17.1640625" customWidth="1"/>
    <col min="5050" max="5050" width="12.5" customWidth="1"/>
    <col min="5051" max="5051" width="14.5" customWidth="1"/>
    <col min="5052" max="5052" width="2.5" customWidth="1"/>
    <col min="5053" max="5053" width="0" hidden="1" customWidth="1"/>
    <col min="5054" max="5054" width="12" customWidth="1"/>
    <col min="5055" max="5055" width="2.83203125" customWidth="1"/>
    <col min="5056" max="5056" width="10.5" customWidth="1"/>
    <col min="5057" max="5057" width="16.5" customWidth="1"/>
    <col min="5058" max="5058" width="41.83203125" customWidth="1"/>
    <col min="5059" max="5059" width="4" customWidth="1"/>
    <col min="5060" max="5060" width="11.5" customWidth="1"/>
    <col min="5301" max="5301" width="33" customWidth="1"/>
    <col min="5302" max="5302" width="47.5" customWidth="1"/>
    <col min="5303" max="5303" width="3" customWidth="1"/>
    <col min="5304" max="5305" width="17.1640625" customWidth="1"/>
    <col min="5306" max="5306" width="12.5" customWidth="1"/>
    <col min="5307" max="5307" width="14.5" customWidth="1"/>
    <col min="5308" max="5308" width="2.5" customWidth="1"/>
    <col min="5309" max="5309" width="0" hidden="1" customWidth="1"/>
    <col min="5310" max="5310" width="12" customWidth="1"/>
    <col min="5311" max="5311" width="2.83203125" customWidth="1"/>
    <col min="5312" max="5312" width="10.5" customWidth="1"/>
    <col min="5313" max="5313" width="16.5" customWidth="1"/>
    <col min="5314" max="5314" width="41.83203125" customWidth="1"/>
    <col min="5315" max="5315" width="4" customWidth="1"/>
    <col min="5316" max="5316" width="11.5" customWidth="1"/>
    <col min="5557" max="5557" width="33" customWidth="1"/>
    <col min="5558" max="5558" width="47.5" customWidth="1"/>
    <col min="5559" max="5559" width="3" customWidth="1"/>
    <col min="5560" max="5561" width="17.1640625" customWidth="1"/>
    <col min="5562" max="5562" width="12.5" customWidth="1"/>
    <col min="5563" max="5563" width="14.5" customWidth="1"/>
    <col min="5564" max="5564" width="2.5" customWidth="1"/>
    <col min="5565" max="5565" width="0" hidden="1" customWidth="1"/>
    <col min="5566" max="5566" width="12" customWidth="1"/>
    <col min="5567" max="5567" width="2.83203125" customWidth="1"/>
    <col min="5568" max="5568" width="10.5" customWidth="1"/>
    <col min="5569" max="5569" width="16.5" customWidth="1"/>
    <col min="5570" max="5570" width="41.83203125" customWidth="1"/>
    <col min="5571" max="5571" width="4" customWidth="1"/>
    <col min="5572" max="5572" width="11.5" customWidth="1"/>
    <col min="5813" max="5813" width="33" customWidth="1"/>
    <col min="5814" max="5814" width="47.5" customWidth="1"/>
    <col min="5815" max="5815" width="3" customWidth="1"/>
    <col min="5816" max="5817" width="17.1640625" customWidth="1"/>
    <col min="5818" max="5818" width="12.5" customWidth="1"/>
    <col min="5819" max="5819" width="14.5" customWidth="1"/>
    <col min="5820" max="5820" width="2.5" customWidth="1"/>
    <col min="5821" max="5821" width="0" hidden="1" customWidth="1"/>
    <col min="5822" max="5822" width="12" customWidth="1"/>
    <col min="5823" max="5823" width="2.83203125" customWidth="1"/>
    <col min="5824" max="5824" width="10.5" customWidth="1"/>
    <col min="5825" max="5825" width="16.5" customWidth="1"/>
    <col min="5826" max="5826" width="41.83203125" customWidth="1"/>
    <col min="5827" max="5827" width="4" customWidth="1"/>
    <col min="5828" max="5828" width="11.5" customWidth="1"/>
    <col min="6069" max="6069" width="33" customWidth="1"/>
    <col min="6070" max="6070" width="47.5" customWidth="1"/>
    <col min="6071" max="6071" width="3" customWidth="1"/>
    <col min="6072" max="6073" width="17.1640625" customWidth="1"/>
    <col min="6074" max="6074" width="12.5" customWidth="1"/>
    <col min="6075" max="6075" width="14.5" customWidth="1"/>
    <col min="6076" max="6076" width="2.5" customWidth="1"/>
    <col min="6077" max="6077" width="0" hidden="1" customWidth="1"/>
    <col min="6078" max="6078" width="12" customWidth="1"/>
    <col min="6079" max="6079" width="2.83203125" customWidth="1"/>
    <col min="6080" max="6080" width="10.5" customWidth="1"/>
    <col min="6081" max="6081" width="16.5" customWidth="1"/>
    <col min="6082" max="6082" width="41.83203125" customWidth="1"/>
    <col min="6083" max="6083" width="4" customWidth="1"/>
    <col min="6084" max="6084" width="11.5" customWidth="1"/>
    <col min="6325" max="6325" width="33" customWidth="1"/>
    <col min="6326" max="6326" width="47.5" customWidth="1"/>
    <col min="6327" max="6327" width="3" customWidth="1"/>
    <col min="6328" max="6329" width="17.1640625" customWidth="1"/>
    <col min="6330" max="6330" width="12.5" customWidth="1"/>
    <col min="6331" max="6331" width="14.5" customWidth="1"/>
    <col min="6332" max="6332" width="2.5" customWidth="1"/>
    <col min="6333" max="6333" width="0" hidden="1" customWidth="1"/>
    <col min="6334" max="6334" width="12" customWidth="1"/>
    <col min="6335" max="6335" width="2.83203125" customWidth="1"/>
    <col min="6336" max="6336" width="10.5" customWidth="1"/>
    <col min="6337" max="6337" width="16.5" customWidth="1"/>
    <col min="6338" max="6338" width="41.83203125" customWidth="1"/>
    <col min="6339" max="6339" width="4" customWidth="1"/>
    <col min="6340" max="6340" width="11.5" customWidth="1"/>
    <col min="6581" max="6581" width="33" customWidth="1"/>
    <col min="6582" max="6582" width="47.5" customWidth="1"/>
    <col min="6583" max="6583" width="3" customWidth="1"/>
    <col min="6584" max="6585" width="17.1640625" customWidth="1"/>
    <col min="6586" max="6586" width="12.5" customWidth="1"/>
    <col min="6587" max="6587" width="14.5" customWidth="1"/>
    <col min="6588" max="6588" width="2.5" customWidth="1"/>
    <col min="6589" max="6589" width="0" hidden="1" customWidth="1"/>
    <col min="6590" max="6590" width="12" customWidth="1"/>
    <col min="6591" max="6591" width="2.83203125" customWidth="1"/>
    <col min="6592" max="6592" width="10.5" customWidth="1"/>
    <col min="6593" max="6593" width="16.5" customWidth="1"/>
    <col min="6594" max="6594" width="41.83203125" customWidth="1"/>
    <col min="6595" max="6595" width="4" customWidth="1"/>
    <col min="6596" max="6596" width="11.5" customWidth="1"/>
    <col min="6837" max="6837" width="33" customWidth="1"/>
    <col min="6838" max="6838" width="47.5" customWidth="1"/>
    <col min="6839" max="6839" width="3" customWidth="1"/>
    <col min="6840" max="6841" width="17.1640625" customWidth="1"/>
    <col min="6842" max="6842" width="12.5" customWidth="1"/>
    <col min="6843" max="6843" width="14.5" customWidth="1"/>
    <col min="6844" max="6844" width="2.5" customWidth="1"/>
    <col min="6845" max="6845" width="0" hidden="1" customWidth="1"/>
    <col min="6846" max="6846" width="12" customWidth="1"/>
    <col min="6847" max="6847" width="2.83203125" customWidth="1"/>
    <col min="6848" max="6848" width="10.5" customWidth="1"/>
    <col min="6849" max="6849" width="16.5" customWidth="1"/>
    <col min="6850" max="6850" width="41.83203125" customWidth="1"/>
    <col min="6851" max="6851" width="4" customWidth="1"/>
    <col min="6852" max="6852" width="11.5" customWidth="1"/>
    <col min="7093" max="7093" width="33" customWidth="1"/>
    <col min="7094" max="7094" width="47.5" customWidth="1"/>
    <col min="7095" max="7095" width="3" customWidth="1"/>
    <col min="7096" max="7097" width="17.1640625" customWidth="1"/>
    <col min="7098" max="7098" width="12.5" customWidth="1"/>
    <col min="7099" max="7099" width="14.5" customWidth="1"/>
    <col min="7100" max="7100" width="2.5" customWidth="1"/>
    <col min="7101" max="7101" width="0" hidden="1" customWidth="1"/>
    <col min="7102" max="7102" width="12" customWidth="1"/>
    <col min="7103" max="7103" width="2.83203125" customWidth="1"/>
    <col min="7104" max="7104" width="10.5" customWidth="1"/>
    <col min="7105" max="7105" width="16.5" customWidth="1"/>
    <col min="7106" max="7106" width="41.83203125" customWidth="1"/>
    <col min="7107" max="7107" width="4" customWidth="1"/>
    <col min="7108" max="7108" width="11.5" customWidth="1"/>
    <col min="7349" max="7349" width="33" customWidth="1"/>
    <col min="7350" max="7350" width="47.5" customWidth="1"/>
    <col min="7351" max="7351" width="3" customWidth="1"/>
    <col min="7352" max="7353" width="17.1640625" customWidth="1"/>
    <col min="7354" max="7354" width="12.5" customWidth="1"/>
    <col min="7355" max="7355" width="14.5" customWidth="1"/>
    <col min="7356" max="7356" width="2.5" customWidth="1"/>
    <col min="7357" max="7357" width="0" hidden="1" customWidth="1"/>
    <col min="7358" max="7358" width="12" customWidth="1"/>
    <col min="7359" max="7359" width="2.83203125" customWidth="1"/>
    <col min="7360" max="7360" width="10.5" customWidth="1"/>
    <col min="7361" max="7361" width="16.5" customWidth="1"/>
    <col min="7362" max="7362" width="41.83203125" customWidth="1"/>
    <col min="7363" max="7363" width="4" customWidth="1"/>
    <col min="7364" max="7364" width="11.5" customWidth="1"/>
    <col min="7605" max="7605" width="33" customWidth="1"/>
    <col min="7606" max="7606" width="47.5" customWidth="1"/>
    <col min="7607" max="7607" width="3" customWidth="1"/>
    <col min="7608" max="7609" width="17.1640625" customWidth="1"/>
    <col min="7610" max="7610" width="12.5" customWidth="1"/>
    <col min="7611" max="7611" width="14.5" customWidth="1"/>
    <col min="7612" max="7612" width="2.5" customWidth="1"/>
    <col min="7613" max="7613" width="0" hidden="1" customWidth="1"/>
    <col min="7614" max="7614" width="12" customWidth="1"/>
    <col min="7615" max="7615" width="2.83203125" customWidth="1"/>
    <col min="7616" max="7616" width="10.5" customWidth="1"/>
    <col min="7617" max="7617" width="16.5" customWidth="1"/>
    <col min="7618" max="7618" width="41.83203125" customWidth="1"/>
    <col min="7619" max="7619" width="4" customWidth="1"/>
    <col min="7620" max="7620" width="11.5" customWidth="1"/>
    <col min="7861" max="7861" width="33" customWidth="1"/>
    <col min="7862" max="7862" width="47.5" customWidth="1"/>
    <col min="7863" max="7863" width="3" customWidth="1"/>
    <col min="7864" max="7865" width="17.1640625" customWidth="1"/>
    <col min="7866" max="7866" width="12.5" customWidth="1"/>
    <col min="7867" max="7867" width="14.5" customWidth="1"/>
    <col min="7868" max="7868" width="2.5" customWidth="1"/>
    <col min="7869" max="7869" width="0" hidden="1" customWidth="1"/>
    <col min="7870" max="7870" width="12" customWidth="1"/>
    <col min="7871" max="7871" width="2.83203125" customWidth="1"/>
    <col min="7872" max="7872" width="10.5" customWidth="1"/>
    <col min="7873" max="7873" width="16.5" customWidth="1"/>
    <col min="7874" max="7874" width="41.83203125" customWidth="1"/>
    <col min="7875" max="7875" width="4" customWidth="1"/>
    <col min="7876" max="7876" width="11.5" customWidth="1"/>
    <col min="8117" max="8117" width="33" customWidth="1"/>
    <col min="8118" max="8118" width="47.5" customWidth="1"/>
    <col min="8119" max="8119" width="3" customWidth="1"/>
    <col min="8120" max="8121" width="17.1640625" customWidth="1"/>
    <col min="8122" max="8122" width="12.5" customWidth="1"/>
    <col min="8123" max="8123" width="14.5" customWidth="1"/>
    <col min="8124" max="8124" width="2.5" customWidth="1"/>
    <col min="8125" max="8125" width="0" hidden="1" customWidth="1"/>
    <col min="8126" max="8126" width="12" customWidth="1"/>
    <col min="8127" max="8127" width="2.83203125" customWidth="1"/>
    <col min="8128" max="8128" width="10.5" customWidth="1"/>
    <col min="8129" max="8129" width="16.5" customWidth="1"/>
    <col min="8130" max="8130" width="41.83203125" customWidth="1"/>
    <col min="8131" max="8131" width="4" customWidth="1"/>
    <col min="8132" max="8132" width="11.5" customWidth="1"/>
    <col min="8373" max="8373" width="33" customWidth="1"/>
    <col min="8374" max="8374" width="47.5" customWidth="1"/>
    <col min="8375" max="8375" width="3" customWidth="1"/>
    <col min="8376" max="8377" width="17.1640625" customWidth="1"/>
    <col min="8378" max="8378" width="12.5" customWidth="1"/>
    <col min="8379" max="8379" width="14.5" customWidth="1"/>
    <col min="8380" max="8380" width="2.5" customWidth="1"/>
    <col min="8381" max="8381" width="0" hidden="1" customWidth="1"/>
    <col min="8382" max="8382" width="12" customWidth="1"/>
    <col min="8383" max="8383" width="2.83203125" customWidth="1"/>
    <col min="8384" max="8384" width="10.5" customWidth="1"/>
    <col min="8385" max="8385" width="16.5" customWidth="1"/>
    <col min="8386" max="8386" width="41.83203125" customWidth="1"/>
    <col min="8387" max="8387" width="4" customWidth="1"/>
    <col min="8388" max="8388" width="11.5" customWidth="1"/>
    <col min="8629" max="8629" width="33" customWidth="1"/>
    <col min="8630" max="8630" width="47.5" customWidth="1"/>
    <col min="8631" max="8631" width="3" customWidth="1"/>
    <col min="8632" max="8633" width="17.1640625" customWidth="1"/>
    <col min="8634" max="8634" width="12.5" customWidth="1"/>
    <col min="8635" max="8635" width="14.5" customWidth="1"/>
    <col min="8636" max="8636" width="2.5" customWidth="1"/>
    <col min="8637" max="8637" width="0" hidden="1" customWidth="1"/>
    <col min="8638" max="8638" width="12" customWidth="1"/>
    <col min="8639" max="8639" width="2.83203125" customWidth="1"/>
    <col min="8640" max="8640" width="10.5" customWidth="1"/>
    <col min="8641" max="8641" width="16.5" customWidth="1"/>
    <col min="8642" max="8642" width="41.83203125" customWidth="1"/>
    <col min="8643" max="8643" width="4" customWidth="1"/>
    <col min="8644" max="8644" width="11.5" customWidth="1"/>
    <col min="8885" max="8885" width="33" customWidth="1"/>
    <col min="8886" max="8886" width="47.5" customWidth="1"/>
    <col min="8887" max="8887" width="3" customWidth="1"/>
    <col min="8888" max="8889" width="17.1640625" customWidth="1"/>
    <col min="8890" max="8890" width="12.5" customWidth="1"/>
    <col min="8891" max="8891" width="14.5" customWidth="1"/>
    <col min="8892" max="8892" width="2.5" customWidth="1"/>
    <col min="8893" max="8893" width="0" hidden="1" customWidth="1"/>
    <col min="8894" max="8894" width="12" customWidth="1"/>
    <col min="8895" max="8895" width="2.83203125" customWidth="1"/>
    <col min="8896" max="8896" width="10.5" customWidth="1"/>
    <col min="8897" max="8897" width="16.5" customWidth="1"/>
    <col min="8898" max="8898" width="41.83203125" customWidth="1"/>
    <col min="8899" max="8899" width="4" customWidth="1"/>
    <col min="8900" max="8900" width="11.5" customWidth="1"/>
    <col min="9141" max="9141" width="33" customWidth="1"/>
    <col min="9142" max="9142" width="47.5" customWidth="1"/>
    <col min="9143" max="9143" width="3" customWidth="1"/>
    <col min="9144" max="9145" width="17.1640625" customWidth="1"/>
    <col min="9146" max="9146" width="12.5" customWidth="1"/>
    <col min="9147" max="9147" width="14.5" customWidth="1"/>
    <col min="9148" max="9148" width="2.5" customWidth="1"/>
    <col min="9149" max="9149" width="0" hidden="1" customWidth="1"/>
    <col min="9150" max="9150" width="12" customWidth="1"/>
    <col min="9151" max="9151" width="2.83203125" customWidth="1"/>
    <col min="9152" max="9152" width="10.5" customWidth="1"/>
    <col min="9153" max="9153" width="16.5" customWidth="1"/>
    <col min="9154" max="9154" width="41.83203125" customWidth="1"/>
    <col min="9155" max="9155" width="4" customWidth="1"/>
    <col min="9156" max="9156" width="11.5" customWidth="1"/>
    <col min="9397" max="9397" width="33" customWidth="1"/>
    <col min="9398" max="9398" width="47.5" customWidth="1"/>
    <col min="9399" max="9399" width="3" customWidth="1"/>
    <col min="9400" max="9401" width="17.1640625" customWidth="1"/>
    <col min="9402" max="9402" width="12.5" customWidth="1"/>
    <col min="9403" max="9403" width="14.5" customWidth="1"/>
    <col min="9404" max="9404" width="2.5" customWidth="1"/>
    <col min="9405" max="9405" width="0" hidden="1" customWidth="1"/>
    <col min="9406" max="9406" width="12" customWidth="1"/>
    <col min="9407" max="9407" width="2.83203125" customWidth="1"/>
    <col min="9408" max="9408" width="10.5" customWidth="1"/>
    <col min="9409" max="9409" width="16.5" customWidth="1"/>
    <col min="9410" max="9410" width="41.83203125" customWidth="1"/>
    <col min="9411" max="9411" width="4" customWidth="1"/>
    <col min="9412" max="9412" width="11.5" customWidth="1"/>
    <col min="9653" max="9653" width="33" customWidth="1"/>
    <col min="9654" max="9654" width="47.5" customWidth="1"/>
    <col min="9655" max="9655" width="3" customWidth="1"/>
    <col min="9656" max="9657" width="17.1640625" customWidth="1"/>
    <col min="9658" max="9658" width="12.5" customWidth="1"/>
    <col min="9659" max="9659" width="14.5" customWidth="1"/>
    <col min="9660" max="9660" width="2.5" customWidth="1"/>
    <col min="9661" max="9661" width="0" hidden="1" customWidth="1"/>
    <col min="9662" max="9662" width="12" customWidth="1"/>
    <col min="9663" max="9663" width="2.83203125" customWidth="1"/>
    <col min="9664" max="9664" width="10.5" customWidth="1"/>
    <col min="9665" max="9665" width="16.5" customWidth="1"/>
    <col min="9666" max="9666" width="41.83203125" customWidth="1"/>
    <col min="9667" max="9667" width="4" customWidth="1"/>
    <col min="9668" max="9668" width="11.5" customWidth="1"/>
    <col min="9909" max="9909" width="33" customWidth="1"/>
    <col min="9910" max="9910" width="47.5" customWidth="1"/>
    <col min="9911" max="9911" width="3" customWidth="1"/>
    <col min="9912" max="9913" width="17.1640625" customWidth="1"/>
    <col min="9914" max="9914" width="12.5" customWidth="1"/>
    <col min="9915" max="9915" width="14.5" customWidth="1"/>
    <col min="9916" max="9916" width="2.5" customWidth="1"/>
    <col min="9917" max="9917" width="0" hidden="1" customWidth="1"/>
    <col min="9918" max="9918" width="12" customWidth="1"/>
    <col min="9919" max="9919" width="2.83203125" customWidth="1"/>
    <col min="9920" max="9920" width="10.5" customWidth="1"/>
    <col min="9921" max="9921" width="16.5" customWidth="1"/>
    <col min="9922" max="9922" width="41.83203125" customWidth="1"/>
    <col min="9923" max="9923" width="4" customWidth="1"/>
    <col min="9924" max="9924" width="11.5" customWidth="1"/>
    <col min="10165" max="10165" width="33" customWidth="1"/>
    <col min="10166" max="10166" width="47.5" customWidth="1"/>
    <col min="10167" max="10167" width="3" customWidth="1"/>
    <col min="10168" max="10169" width="17.1640625" customWidth="1"/>
    <col min="10170" max="10170" width="12.5" customWidth="1"/>
    <col min="10171" max="10171" width="14.5" customWidth="1"/>
    <col min="10172" max="10172" width="2.5" customWidth="1"/>
    <col min="10173" max="10173" width="0" hidden="1" customWidth="1"/>
    <col min="10174" max="10174" width="12" customWidth="1"/>
    <col min="10175" max="10175" width="2.83203125" customWidth="1"/>
    <col min="10176" max="10176" width="10.5" customWidth="1"/>
    <col min="10177" max="10177" width="16.5" customWidth="1"/>
    <col min="10178" max="10178" width="41.83203125" customWidth="1"/>
    <col min="10179" max="10179" width="4" customWidth="1"/>
    <col min="10180" max="10180" width="11.5" customWidth="1"/>
    <col min="10421" max="10421" width="33" customWidth="1"/>
    <col min="10422" max="10422" width="47.5" customWidth="1"/>
    <col min="10423" max="10423" width="3" customWidth="1"/>
    <col min="10424" max="10425" width="17.1640625" customWidth="1"/>
    <col min="10426" max="10426" width="12.5" customWidth="1"/>
    <col min="10427" max="10427" width="14.5" customWidth="1"/>
    <col min="10428" max="10428" width="2.5" customWidth="1"/>
    <col min="10429" max="10429" width="0" hidden="1" customWidth="1"/>
    <col min="10430" max="10430" width="12" customWidth="1"/>
    <col min="10431" max="10431" width="2.83203125" customWidth="1"/>
    <col min="10432" max="10432" width="10.5" customWidth="1"/>
    <col min="10433" max="10433" width="16.5" customWidth="1"/>
    <col min="10434" max="10434" width="41.83203125" customWidth="1"/>
    <col min="10435" max="10435" width="4" customWidth="1"/>
    <col min="10436" max="10436" width="11.5" customWidth="1"/>
    <col min="10677" max="10677" width="33" customWidth="1"/>
    <col min="10678" max="10678" width="47.5" customWidth="1"/>
    <col min="10679" max="10679" width="3" customWidth="1"/>
    <col min="10680" max="10681" width="17.1640625" customWidth="1"/>
    <col min="10682" max="10682" width="12.5" customWidth="1"/>
    <col min="10683" max="10683" width="14.5" customWidth="1"/>
    <col min="10684" max="10684" width="2.5" customWidth="1"/>
    <col min="10685" max="10685" width="0" hidden="1" customWidth="1"/>
    <col min="10686" max="10686" width="12" customWidth="1"/>
    <col min="10687" max="10687" width="2.83203125" customWidth="1"/>
    <col min="10688" max="10688" width="10.5" customWidth="1"/>
    <col min="10689" max="10689" width="16.5" customWidth="1"/>
    <col min="10690" max="10690" width="41.83203125" customWidth="1"/>
    <col min="10691" max="10691" width="4" customWidth="1"/>
    <col min="10692" max="10692" width="11.5" customWidth="1"/>
    <col min="10933" max="10933" width="33" customWidth="1"/>
    <col min="10934" max="10934" width="47.5" customWidth="1"/>
    <col min="10935" max="10935" width="3" customWidth="1"/>
    <col min="10936" max="10937" width="17.1640625" customWidth="1"/>
    <col min="10938" max="10938" width="12.5" customWidth="1"/>
    <col min="10939" max="10939" width="14.5" customWidth="1"/>
    <col min="10940" max="10940" width="2.5" customWidth="1"/>
    <col min="10941" max="10941" width="0" hidden="1" customWidth="1"/>
    <col min="10942" max="10942" width="12" customWidth="1"/>
    <col min="10943" max="10943" width="2.83203125" customWidth="1"/>
    <col min="10944" max="10944" width="10.5" customWidth="1"/>
    <col min="10945" max="10945" width="16.5" customWidth="1"/>
    <col min="10946" max="10946" width="41.83203125" customWidth="1"/>
    <col min="10947" max="10947" width="4" customWidth="1"/>
    <col min="10948" max="10948" width="11.5" customWidth="1"/>
    <col min="11189" max="11189" width="33" customWidth="1"/>
    <col min="11190" max="11190" width="47.5" customWidth="1"/>
    <col min="11191" max="11191" width="3" customWidth="1"/>
    <col min="11192" max="11193" width="17.1640625" customWidth="1"/>
    <col min="11194" max="11194" width="12.5" customWidth="1"/>
    <col min="11195" max="11195" width="14.5" customWidth="1"/>
    <col min="11196" max="11196" width="2.5" customWidth="1"/>
    <col min="11197" max="11197" width="0" hidden="1" customWidth="1"/>
    <col min="11198" max="11198" width="12" customWidth="1"/>
    <col min="11199" max="11199" width="2.83203125" customWidth="1"/>
    <col min="11200" max="11200" width="10.5" customWidth="1"/>
    <col min="11201" max="11201" width="16.5" customWidth="1"/>
    <col min="11202" max="11202" width="41.83203125" customWidth="1"/>
    <col min="11203" max="11203" width="4" customWidth="1"/>
    <col min="11204" max="11204" width="11.5" customWidth="1"/>
    <col min="11445" max="11445" width="33" customWidth="1"/>
    <col min="11446" max="11446" width="47.5" customWidth="1"/>
    <col min="11447" max="11447" width="3" customWidth="1"/>
    <col min="11448" max="11449" width="17.1640625" customWidth="1"/>
    <col min="11450" max="11450" width="12.5" customWidth="1"/>
    <col min="11451" max="11451" width="14.5" customWidth="1"/>
    <col min="11452" max="11452" width="2.5" customWidth="1"/>
    <col min="11453" max="11453" width="0" hidden="1" customWidth="1"/>
    <col min="11454" max="11454" width="12" customWidth="1"/>
    <col min="11455" max="11455" width="2.83203125" customWidth="1"/>
    <col min="11456" max="11456" width="10.5" customWidth="1"/>
    <col min="11457" max="11457" width="16.5" customWidth="1"/>
    <col min="11458" max="11458" width="41.83203125" customWidth="1"/>
    <col min="11459" max="11459" width="4" customWidth="1"/>
    <col min="11460" max="11460" width="11.5" customWidth="1"/>
    <col min="11701" max="11701" width="33" customWidth="1"/>
    <col min="11702" max="11702" width="47.5" customWidth="1"/>
    <col min="11703" max="11703" width="3" customWidth="1"/>
    <col min="11704" max="11705" width="17.1640625" customWidth="1"/>
    <col min="11706" max="11706" width="12.5" customWidth="1"/>
    <col min="11707" max="11707" width="14.5" customWidth="1"/>
    <col min="11708" max="11708" width="2.5" customWidth="1"/>
    <col min="11709" max="11709" width="0" hidden="1" customWidth="1"/>
    <col min="11710" max="11710" width="12" customWidth="1"/>
    <col min="11711" max="11711" width="2.83203125" customWidth="1"/>
    <col min="11712" max="11712" width="10.5" customWidth="1"/>
    <col min="11713" max="11713" width="16.5" customWidth="1"/>
    <col min="11714" max="11714" width="41.83203125" customWidth="1"/>
    <col min="11715" max="11715" width="4" customWidth="1"/>
    <col min="11716" max="11716" width="11.5" customWidth="1"/>
    <col min="11957" max="11957" width="33" customWidth="1"/>
    <col min="11958" max="11958" width="47.5" customWidth="1"/>
    <col min="11959" max="11959" width="3" customWidth="1"/>
    <col min="11960" max="11961" width="17.1640625" customWidth="1"/>
    <col min="11962" max="11962" width="12.5" customWidth="1"/>
    <col min="11963" max="11963" width="14.5" customWidth="1"/>
    <col min="11964" max="11964" width="2.5" customWidth="1"/>
    <col min="11965" max="11965" width="0" hidden="1" customWidth="1"/>
    <col min="11966" max="11966" width="12" customWidth="1"/>
    <col min="11967" max="11967" width="2.83203125" customWidth="1"/>
    <col min="11968" max="11968" width="10.5" customWidth="1"/>
    <col min="11969" max="11969" width="16.5" customWidth="1"/>
    <col min="11970" max="11970" width="41.83203125" customWidth="1"/>
    <col min="11971" max="11971" width="4" customWidth="1"/>
    <col min="11972" max="11972" width="11.5" customWidth="1"/>
    <col min="12213" max="12213" width="33" customWidth="1"/>
    <col min="12214" max="12214" width="47.5" customWidth="1"/>
    <col min="12215" max="12215" width="3" customWidth="1"/>
    <col min="12216" max="12217" width="17.1640625" customWidth="1"/>
    <col min="12218" max="12218" width="12.5" customWidth="1"/>
    <col min="12219" max="12219" width="14.5" customWidth="1"/>
    <col min="12220" max="12220" width="2.5" customWidth="1"/>
    <col min="12221" max="12221" width="0" hidden="1" customWidth="1"/>
    <col min="12222" max="12222" width="12" customWidth="1"/>
    <col min="12223" max="12223" width="2.83203125" customWidth="1"/>
    <col min="12224" max="12224" width="10.5" customWidth="1"/>
    <col min="12225" max="12225" width="16.5" customWidth="1"/>
    <col min="12226" max="12226" width="41.83203125" customWidth="1"/>
    <col min="12227" max="12227" width="4" customWidth="1"/>
    <col min="12228" max="12228" width="11.5" customWidth="1"/>
    <col min="12469" max="12469" width="33" customWidth="1"/>
    <col min="12470" max="12470" width="47.5" customWidth="1"/>
    <col min="12471" max="12471" width="3" customWidth="1"/>
    <col min="12472" max="12473" width="17.1640625" customWidth="1"/>
    <col min="12474" max="12474" width="12.5" customWidth="1"/>
    <col min="12475" max="12475" width="14.5" customWidth="1"/>
    <col min="12476" max="12476" width="2.5" customWidth="1"/>
    <col min="12477" max="12477" width="0" hidden="1" customWidth="1"/>
    <col min="12478" max="12478" width="12" customWidth="1"/>
    <col min="12479" max="12479" width="2.83203125" customWidth="1"/>
    <col min="12480" max="12480" width="10.5" customWidth="1"/>
    <col min="12481" max="12481" width="16.5" customWidth="1"/>
    <col min="12482" max="12482" width="41.83203125" customWidth="1"/>
    <col min="12483" max="12483" width="4" customWidth="1"/>
    <col min="12484" max="12484" width="11.5" customWidth="1"/>
    <col min="12725" max="12725" width="33" customWidth="1"/>
    <col min="12726" max="12726" width="47.5" customWidth="1"/>
    <col min="12727" max="12727" width="3" customWidth="1"/>
    <col min="12728" max="12729" width="17.1640625" customWidth="1"/>
    <col min="12730" max="12730" width="12.5" customWidth="1"/>
    <col min="12731" max="12731" width="14.5" customWidth="1"/>
    <col min="12732" max="12732" width="2.5" customWidth="1"/>
    <col min="12733" max="12733" width="0" hidden="1" customWidth="1"/>
    <col min="12734" max="12734" width="12" customWidth="1"/>
    <col min="12735" max="12735" width="2.83203125" customWidth="1"/>
    <col min="12736" max="12736" width="10.5" customWidth="1"/>
    <col min="12737" max="12737" width="16.5" customWidth="1"/>
    <col min="12738" max="12738" width="41.83203125" customWidth="1"/>
    <col min="12739" max="12739" width="4" customWidth="1"/>
    <col min="12740" max="12740" width="11.5" customWidth="1"/>
    <col min="12981" max="12981" width="33" customWidth="1"/>
    <col min="12982" max="12982" width="47.5" customWidth="1"/>
    <col min="12983" max="12983" width="3" customWidth="1"/>
    <col min="12984" max="12985" width="17.1640625" customWidth="1"/>
    <col min="12986" max="12986" width="12.5" customWidth="1"/>
    <col min="12987" max="12987" width="14.5" customWidth="1"/>
    <col min="12988" max="12988" width="2.5" customWidth="1"/>
    <col min="12989" max="12989" width="0" hidden="1" customWidth="1"/>
    <col min="12990" max="12990" width="12" customWidth="1"/>
    <col min="12991" max="12991" width="2.83203125" customWidth="1"/>
    <col min="12992" max="12992" width="10.5" customWidth="1"/>
    <col min="12993" max="12993" width="16.5" customWidth="1"/>
    <col min="12994" max="12994" width="41.83203125" customWidth="1"/>
    <col min="12995" max="12995" width="4" customWidth="1"/>
    <col min="12996" max="12996" width="11.5" customWidth="1"/>
    <col min="13237" max="13237" width="33" customWidth="1"/>
    <col min="13238" max="13238" width="47.5" customWidth="1"/>
    <col min="13239" max="13239" width="3" customWidth="1"/>
    <col min="13240" max="13241" width="17.1640625" customWidth="1"/>
    <col min="13242" max="13242" width="12.5" customWidth="1"/>
    <col min="13243" max="13243" width="14.5" customWidth="1"/>
    <col min="13244" max="13244" width="2.5" customWidth="1"/>
    <col min="13245" max="13245" width="0" hidden="1" customWidth="1"/>
    <col min="13246" max="13246" width="12" customWidth="1"/>
    <col min="13247" max="13247" width="2.83203125" customWidth="1"/>
    <col min="13248" max="13248" width="10.5" customWidth="1"/>
    <col min="13249" max="13249" width="16.5" customWidth="1"/>
    <col min="13250" max="13250" width="41.83203125" customWidth="1"/>
    <col min="13251" max="13251" width="4" customWidth="1"/>
    <col min="13252" max="13252" width="11.5" customWidth="1"/>
    <col min="13493" max="13493" width="33" customWidth="1"/>
    <col min="13494" max="13494" width="47.5" customWidth="1"/>
    <col min="13495" max="13495" width="3" customWidth="1"/>
    <col min="13496" max="13497" width="17.1640625" customWidth="1"/>
    <col min="13498" max="13498" width="12.5" customWidth="1"/>
    <col min="13499" max="13499" width="14.5" customWidth="1"/>
    <col min="13500" max="13500" width="2.5" customWidth="1"/>
    <col min="13501" max="13501" width="0" hidden="1" customWidth="1"/>
    <col min="13502" max="13502" width="12" customWidth="1"/>
    <col min="13503" max="13503" width="2.83203125" customWidth="1"/>
    <col min="13504" max="13504" width="10.5" customWidth="1"/>
    <col min="13505" max="13505" width="16.5" customWidth="1"/>
    <col min="13506" max="13506" width="41.83203125" customWidth="1"/>
    <col min="13507" max="13507" width="4" customWidth="1"/>
    <col min="13508" max="13508" width="11.5" customWidth="1"/>
    <col min="13749" max="13749" width="33" customWidth="1"/>
    <col min="13750" max="13750" width="47.5" customWidth="1"/>
    <col min="13751" max="13751" width="3" customWidth="1"/>
    <col min="13752" max="13753" width="17.1640625" customWidth="1"/>
    <col min="13754" max="13754" width="12.5" customWidth="1"/>
    <col min="13755" max="13755" width="14.5" customWidth="1"/>
    <col min="13756" max="13756" width="2.5" customWidth="1"/>
    <col min="13757" max="13757" width="0" hidden="1" customWidth="1"/>
    <col min="13758" max="13758" width="12" customWidth="1"/>
    <col min="13759" max="13759" width="2.83203125" customWidth="1"/>
    <col min="13760" max="13760" width="10.5" customWidth="1"/>
    <col min="13761" max="13761" width="16.5" customWidth="1"/>
    <col min="13762" max="13762" width="41.83203125" customWidth="1"/>
    <col min="13763" max="13763" width="4" customWidth="1"/>
    <col min="13764" max="13764" width="11.5" customWidth="1"/>
    <col min="14005" max="14005" width="33" customWidth="1"/>
    <col min="14006" max="14006" width="47.5" customWidth="1"/>
    <col min="14007" max="14007" width="3" customWidth="1"/>
    <col min="14008" max="14009" width="17.1640625" customWidth="1"/>
    <col min="14010" max="14010" width="12.5" customWidth="1"/>
    <col min="14011" max="14011" width="14.5" customWidth="1"/>
    <col min="14012" max="14012" width="2.5" customWidth="1"/>
    <col min="14013" max="14013" width="0" hidden="1" customWidth="1"/>
    <col min="14014" max="14014" width="12" customWidth="1"/>
    <col min="14015" max="14015" width="2.83203125" customWidth="1"/>
    <col min="14016" max="14016" width="10.5" customWidth="1"/>
    <col min="14017" max="14017" width="16.5" customWidth="1"/>
    <col min="14018" max="14018" width="41.83203125" customWidth="1"/>
    <col min="14019" max="14019" width="4" customWidth="1"/>
    <col min="14020" max="14020" width="11.5" customWidth="1"/>
    <col min="14261" max="14261" width="33" customWidth="1"/>
    <col min="14262" max="14262" width="47.5" customWidth="1"/>
    <col min="14263" max="14263" width="3" customWidth="1"/>
    <col min="14264" max="14265" width="17.1640625" customWidth="1"/>
    <col min="14266" max="14266" width="12.5" customWidth="1"/>
    <col min="14267" max="14267" width="14.5" customWidth="1"/>
    <col min="14268" max="14268" width="2.5" customWidth="1"/>
    <col min="14269" max="14269" width="0" hidden="1" customWidth="1"/>
    <col min="14270" max="14270" width="12" customWidth="1"/>
    <col min="14271" max="14271" width="2.83203125" customWidth="1"/>
    <col min="14272" max="14272" width="10.5" customWidth="1"/>
    <col min="14273" max="14273" width="16.5" customWidth="1"/>
    <col min="14274" max="14274" width="41.83203125" customWidth="1"/>
    <col min="14275" max="14275" width="4" customWidth="1"/>
    <col min="14276" max="14276" width="11.5" customWidth="1"/>
    <col min="14517" max="14517" width="33" customWidth="1"/>
    <col min="14518" max="14518" width="47.5" customWidth="1"/>
    <col min="14519" max="14519" width="3" customWidth="1"/>
    <col min="14520" max="14521" width="17.1640625" customWidth="1"/>
    <col min="14522" max="14522" width="12.5" customWidth="1"/>
    <col min="14523" max="14523" width="14.5" customWidth="1"/>
    <col min="14524" max="14524" width="2.5" customWidth="1"/>
    <col min="14525" max="14525" width="0" hidden="1" customWidth="1"/>
    <col min="14526" max="14526" width="12" customWidth="1"/>
    <col min="14527" max="14527" width="2.83203125" customWidth="1"/>
    <col min="14528" max="14528" width="10.5" customWidth="1"/>
    <col min="14529" max="14529" width="16.5" customWidth="1"/>
    <col min="14530" max="14530" width="41.83203125" customWidth="1"/>
    <col min="14531" max="14531" width="4" customWidth="1"/>
    <col min="14532" max="14532" width="11.5" customWidth="1"/>
    <col min="14773" max="14773" width="33" customWidth="1"/>
    <col min="14774" max="14774" width="47.5" customWidth="1"/>
    <col min="14775" max="14775" width="3" customWidth="1"/>
    <col min="14776" max="14777" width="17.1640625" customWidth="1"/>
    <col min="14778" max="14778" width="12.5" customWidth="1"/>
    <col min="14779" max="14779" width="14.5" customWidth="1"/>
    <col min="14780" max="14780" width="2.5" customWidth="1"/>
    <col min="14781" max="14781" width="0" hidden="1" customWidth="1"/>
    <col min="14782" max="14782" width="12" customWidth="1"/>
    <col min="14783" max="14783" width="2.83203125" customWidth="1"/>
    <col min="14784" max="14784" width="10.5" customWidth="1"/>
    <col min="14785" max="14785" width="16.5" customWidth="1"/>
    <col min="14786" max="14786" width="41.83203125" customWidth="1"/>
    <col min="14787" max="14787" width="4" customWidth="1"/>
    <col min="14788" max="14788" width="11.5" customWidth="1"/>
    <col min="15029" max="15029" width="33" customWidth="1"/>
    <col min="15030" max="15030" width="47.5" customWidth="1"/>
    <col min="15031" max="15031" width="3" customWidth="1"/>
    <col min="15032" max="15033" width="17.1640625" customWidth="1"/>
    <col min="15034" max="15034" width="12.5" customWidth="1"/>
    <col min="15035" max="15035" width="14.5" customWidth="1"/>
    <col min="15036" max="15036" width="2.5" customWidth="1"/>
    <col min="15037" max="15037" width="0" hidden="1" customWidth="1"/>
    <col min="15038" max="15038" width="12" customWidth="1"/>
    <col min="15039" max="15039" width="2.83203125" customWidth="1"/>
    <col min="15040" max="15040" width="10.5" customWidth="1"/>
    <col min="15041" max="15041" width="16.5" customWidth="1"/>
    <col min="15042" max="15042" width="41.83203125" customWidth="1"/>
    <col min="15043" max="15043" width="4" customWidth="1"/>
    <col min="15044" max="15044" width="11.5" customWidth="1"/>
    <col min="15285" max="15285" width="33" customWidth="1"/>
    <col min="15286" max="15286" width="47.5" customWidth="1"/>
    <col min="15287" max="15287" width="3" customWidth="1"/>
    <col min="15288" max="15289" width="17.1640625" customWidth="1"/>
    <col min="15290" max="15290" width="12.5" customWidth="1"/>
    <col min="15291" max="15291" width="14.5" customWidth="1"/>
    <col min="15292" max="15292" width="2.5" customWidth="1"/>
    <col min="15293" max="15293" width="0" hidden="1" customWidth="1"/>
    <col min="15294" max="15294" width="12" customWidth="1"/>
    <col min="15295" max="15295" width="2.83203125" customWidth="1"/>
    <col min="15296" max="15296" width="10.5" customWidth="1"/>
    <col min="15297" max="15297" width="16.5" customWidth="1"/>
    <col min="15298" max="15298" width="41.83203125" customWidth="1"/>
    <col min="15299" max="15299" width="4" customWidth="1"/>
    <col min="15300" max="15300" width="11.5" customWidth="1"/>
    <col min="15541" max="15541" width="33" customWidth="1"/>
    <col min="15542" max="15542" width="47.5" customWidth="1"/>
    <col min="15543" max="15543" width="3" customWidth="1"/>
    <col min="15544" max="15545" width="17.1640625" customWidth="1"/>
    <col min="15546" max="15546" width="12.5" customWidth="1"/>
    <col min="15547" max="15547" width="14.5" customWidth="1"/>
    <col min="15548" max="15548" width="2.5" customWidth="1"/>
    <col min="15549" max="15549" width="0" hidden="1" customWidth="1"/>
    <col min="15550" max="15550" width="12" customWidth="1"/>
    <col min="15551" max="15551" width="2.83203125" customWidth="1"/>
    <col min="15552" max="15552" width="10.5" customWidth="1"/>
    <col min="15553" max="15553" width="16.5" customWidth="1"/>
    <col min="15554" max="15554" width="41.83203125" customWidth="1"/>
    <col min="15555" max="15555" width="4" customWidth="1"/>
    <col min="15556" max="15556" width="11.5" customWidth="1"/>
    <col min="15797" max="15797" width="33" customWidth="1"/>
    <col min="15798" max="15798" width="47.5" customWidth="1"/>
    <col min="15799" max="15799" width="3" customWidth="1"/>
    <col min="15800" max="15801" width="17.1640625" customWidth="1"/>
    <col min="15802" max="15802" width="12.5" customWidth="1"/>
    <col min="15803" max="15803" width="14.5" customWidth="1"/>
    <col min="15804" max="15804" width="2.5" customWidth="1"/>
    <col min="15805" max="15805" width="0" hidden="1" customWidth="1"/>
    <col min="15806" max="15806" width="12" customWidth="1"/>
    <col min="15807" max="15807" width="2.83203125" customWidth="1"/>
    <col min="15808" max="15808" width="10.5" customWidth="1"/>
    <col min="15809" max="15809" width="16.5" customWidth="1"/>
    <col min="15810" max="15810" width="41.83203125" customWidth="1"/>
    <col min="15811" max="15811" width="4" customWidth="1"/>
    <col min="15812" max="15812" width="11.5" customWidth="1"/>
    <col min="16053" max="16053" width="33" customWidth="1"/>
    <col min="16054" max="16054" width="47.5" customWidth="1"/>
    <col min="16055" max="16055" width="3" customWidth="1"/>
    <col min="16056" max="16057" width="17.1640625" customWidth="1"/>
    <col min="16058" max="16058" width="12.5" customWidth="1"/>
    <col min="16059" max="16059" width="14.5" customWidth="1"/>
    <col min="16060" max="16060" width="2.5" customWidth="1"/>
    <col min="16061" max="16061" width="0" hidden="1" customWidth="1"/>
    <col min="16062" max="16062" width="12" customWidth="1"/>
    <col min="16063" max="16063" width="2.83203125" customWidth="1"/>
    <col min="16064" max="16064" width="10.5" customWidth="1"/>
    <col min="16065" max="16065" width="16.5" customWidth="1"/>
    <col min="16066" max="16066" width="41.83203125" customWidth="1"/>
    <col min="16067" max="16067" width="4" customWidth="1"/>
    <col min="16068" max="16068" width="11.5" customWidth="1"/>
  </cols>
  <sheetData>
    <row r="1" spans="1:58" ht="23.5" customHeight="1" thickBot="1">
      <c r="A1" s="559">
        <v>1</v>
      </c>
      <c r="E1" s="264"/>
      <c r="F1" s="265"/>
      <c r="G1" s="80"/>
      <c r="H1" s="369"/>
      <c r="I1" s="370"/>
      <c r="J1" s="300"/>
      <c r="K1" s="369"/>
      <c r="L1" s="370"/>
      <c r="M1" s="300"/>
      <c r="N1" s="264"/>
      <c r="O1" s="265"/>
      <c r="Q1" s="465" t="s">
        <v>129</v>
      </c>
      <c r="R1" s="468"/>
      <c r="T1" s="465" t="s">
        <v>130</v>
      </c>
      <c r="U1" s="466"/>
      <c r="W1" s="559">
        <v>1</v>
      </c>
    </row>
    <row r="2" spans="1:58" ht="18" thickBot="1">
      <c r="A2" s="559">
        <f>1+A1</f>
        <v>2</v>
      </c>
      <c r="B2" s="172" t="s">
        <v>106</v>
      </c>
      <c r="C2" s="37"/>
      <c r="E2" s="266" t="s">
        <v>99</v>
      </c>
      <c r="F2" s="267" t="s">
        <v>99</v>
      </c>
      <c r="G2" s="268"/>
      <c r="H2" s="374" t="s">
        <v>99</v>
      </c>
      <c r="I2" s="173" t="s">
        <v>99</v>
      </c>
      <c r="K2" s="374" t="s">
        <v>99</v>
      </c>
      <c r="L2" s="173" t="s">
        <v>99</v>
      </c>
      <c r="N2" s="266" t="s">
        <v>107</v>
      </c>
      <c r="O2" s="267" t="s">
        <v>107</v>
      </c>
      <c r="Q2" s="266" t="s">
        <v>107</v>
      </c>
      <c r="R2" s="266" t="s">
        <v>107</v>
      </c>
      <c r="T2" s="266" t="s">
        <v>107</v>
      </c>
      <c r="U2" s="266" t="s">
        <v>107</v>
      </c>
      <c r="W2" s="559">
        <f>1+W1</f>
        <v>2</v>
      </c>
    </row>
    <row r="3" spans="1:58" ht="18" thickBot="1">
      <c r="A3" s="559">
        <f t="shared" ref="A3:A66" si="0">1+A2</f>
        <v>3</v>
      </c>
      <c r="B3" s="51"/>
      <c r="C3" s="88"/>
      <c r="E3" s="234" t="s">
        <v>108</v>
      </c>
      <c r="F3" s="470" t="s">
        <v>108</v>
      </c>
      <c r="G3" s="155"/>
      <c r="H3" s="175" t="s">
        <v>1</v>
      </c>
      <c r="I3" s="500" t="s">
        <v>1</v>
      </c>
      <c r="K3" s="175" t="s">
        <v>0</v>
      </c>
      <c r="L3" s="175" t="s">
        <v>0</v>
      </c>
      <c r="N3" s="234" t="s">
        <v>83</v>
      </c>
      <c r="O3" s="470" t="s">
        <v>83</v>
      </c>
      <c r="Q3" s="473" t="s">
        <v>133</v>
      </c>
      <c r="R3" s="474" t="s">
        <v>133</v>
      </c>
      <c r="T3" s="234" t="s">
        <v>134</v>
      </c>
      <c r="U3" s="470" t="s">
        <v>134</v>
      </c>
      <c r="W3" s="559">
        <f>+W2+1</f>
        <v>3</v>
      </c>
      <c r="X3" s="524" t="s">
        <v>148</v>
      </c>
    </row>
    <row r="4" spans="1:58" s="70" customFormat="1" ht="13" thickBot="1">
      <c r="A4" s="559">
        <f t="shared" si="0"/>
        <v>4</v>
      </c>
      <c r="B4" s="270" t="s">
        <v>25</v>
      </c>
      <c r="C4" s="176"/>
      <c r="D4" s="153"/>
      <c r="E4" s="271"/>
      <c r="F4" s="272"/>
      <c r="G4" s="273"/>
      <c r="H4" s="274"/>
      <c r="I4" s="275"/>
      <c r="J4" s="42"/>
      <c r="K4" s="274"/>
      <c r="L4" s="275"/>
      <c r="M4" s="42"/>
      <c r="N4" s="175"/>
      <c r="O4" s="177"/>
      <c r="P4" s="179"/>
      <c r="Q4" s="175"/>
      <c r="R4" s="177"/>
      <c r="S4" s="225"/>
      <c r="T4" s="175"/>
      <c r="U4" s="177"/>
      <c r="V4" s="179"/>
      <c r="W4" s="559">
        <f t="shared" ref="W4:W67" si="1">+W3+1</f>
        <v>4</v>
      </c>
      <c r="X4" s="524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</row>
    <row r="5" spans="1:58" s="70" customFormat="1" ht="12">
      <c r="A5" s="559">
        <f t="shared" si="0"/>
        <v>5</v>
      </c>
      <c r="B5" s="276" t="s">
        <v>27</v>
      </c>
      <c r="C5" s="221"/>
      <c r="D5" s="164"/>
      <c r="E5" s="277"/>
      <c r="F5" s="371" t="e">
        <f>+#REF!</f>
        <v>#REF!</v>
      </c>
      <c r="G5" s="74"/>
      <c r="H5" s="279"/>
      <c r="I5" s="181" t="e">
        <f>+#REF!</f>
        <v>#REF!</v>
      </c>
      <c r="J5" s="42"/>
      <c r="K5" s="279"/>
      <c r="L5" s="181" t="e">
        <f>+#REF!</f>
        <v>#REF!</v>
      </c>
      <c r="M5" s="42"/>
      <c r="N5" s="280"/>
      <c r="O5" s="278">
        <v>100000</v>
      </c>
      <c r="P5" s="179"/>
      <c r="Q5" s="280"/>
      <c r="R5" s="478">
        <v>-25000</v>
      </c>
      <c r="S5" s="225"/>
      <c r="T5" s="280"/>
      <c r="U5" s="278">
        <f>+O5+R5</f>
        <v>75000</v>
      </c>
      <c r="V5" s="179"/>
      <c r="W5" s="559">
        <f t="shared" si="1"/>
        <v>5</v>
      </c>
      <c r="X5" s="524" t="s">
        <v>149</v>
      </c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</row>
    <row r="6" spans="1:58" s="70" customFormat="1" ht="12">
      <c r="A6" s="559">
        <f t="shared" si="0"/>
        <v>6</v>
      </c>
      <c r="B6" s="79"/>
      <c r="C6" s="88"/>
      <c r="D6" s="153"/>
      <c r="E6" s="277"/>
      <c r="F6" s="281"/>
      <c r="G6" s="80"/>
      <c r="H6" s="279"/>
      <c r="I6" s="282"/>
      <c r="J6" s="42"/>
      <c r="K6" s="279"/>
      <c r="L6" s="282"/>
      <c r="M6" s="42"/>
      <c r="N6" s="280"/>
      <c r="O6" s="283"/>
      <c r="P6" s="179"/>
      <c r="Q6" s="280"/>
      <c r="R6" s="283"/>
      <c r="S6" s="225"/>
      <c r="T6" s="280"/>
      <c r="U6" s="283"/>
      <c r="V6" s="179"/>
      <c r="W6" s="559">
        <f t="shared" si="1"/>
        <v>6</v>
      </c>
      <c r="X6" s="524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</row>
    <row r="7" spans="1:58" s="70" customFormat="1" ht="12">
      <c r="A7" s="559">
        <f t="shared" si="0"/>
        <v>7</v>
      </c>
      <c r="B7" s="79" t="s">
        <v>3</v>
      </c>
      <c r="C7" s="88"/>
      <c r="D7" s="153"/>
      <c r="E7" s="284"/>
      <c r="F7" s="502">
        <f>SUM(E8:E10)</f>
        <v>75000</v>
      </c>
      <c r="G7" s="285"/>
      <c r="H7" s="286"/>
      <c r="I7" s="185" t="e">
        <f>SUM(H8:H10)</f>
        <v>#REF!</v>
      </c>
      <c r="J7" s="42"/>
      <c r="K7" s="286"/>
      <c r="L7" s="185" t="e">
        <f>SUM(K8:K10)</f>
        <v>#REF!</v>
      </c>
      <c r="M7" s="42"/>
      <c r="N7" s="287"/>
      <c r="O7" s="288">
        <f>SUM(N8:N10)</f>
        <v>15000</v>
      </c>
      <c r="P7" s="179"/>
      <c r="Q7" s="287"/>
      <c r="R7" s="288">
        <f>SUM(Q8:Q10)</f>
        <v>36425</v>
      </c>
      <c r="S7" s="225"/>
      <c r="T7" s="287"/>
      <c r="U7" s="288">
        <f>SUM(T8:T10)</f>
        <v>51425</v>
      </c>
      <c r="V7" s="179"/>
      <c r="W7" s="559">
        <f t="shared" si="1"/>
        <v>7</v>
      </c>
      <c r="X7" s="524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</row>
    <row r="8" spans="1:58" s="70" customFormat="1" ht="12">
      <c r="A8" s="559">
        <f t="shared" si="0"/>
        <v>8</v>
      </c>
      <c r="B8" s="86"/>
      <c r="C8" s="88" t="s">
        <v>28</v>
      </c>
      <c r="D8" s="153"/>
      <c r="E8" s="61">
        <v>45000</v>
      </c>
      <c r="F8" s="289"/>
      <c r="G8" s="290"/>
      <c r="H8" s="291" t="e">
        <f>+#REF!</f>
        <v>#REF!</v>
      </c>
      <c r="I8" s="292"/>
      <c r="J8" s="42"/>
      <c r="K8" s="291" t="e">
        <f>+#REF!</f>
        <v>#REF!</v>
      </c>
      <c r="L8" s="292"/>
      <c r="M8" s="42"/>
      <c r="N8" s="293">
        <v>15000</v>
      </c>
      <c r="O8" s="294"/>
      <c r="P8" s="179"/>
      <c r="Q8" s="293"/>
      <c r="R8" s="294"/>
      <c r="S8" s="225"/>
      <c r="T8" s="293">
        <f>+N8+Q8</f>
        <v>15000</v>
      </c>
      <c r="U8" s="294"/>
      <c r="V8" s="179"/>
      <c r="W8" s="559">
        <f t="shared" si="1"/>
        <v>8</v>
      </c>
      <c r="X8" s="524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</row>
    <row r="9" spans="1:58" s="70" customFormat="1" ht="12">
      <c r="A9" s="559">
        <f t="shared" si="0"/>
        <v>9</v>
      </c>
      <c r="B9" s="86"/>
      <c r="C9" s="221" t="s">
        <v>103</v>
      </c>
      <c r="D9" s="153"/>
      <c r="E9" s="61">
        <v>30000</v>
      </c>
      <c r="F9" s="289"/>
      <c r="G9" s="290"/>
      <c r="H9" s="291" t="e">
        <f>+#REF!</f>
        <v>#REF!</v>
      </c>
      <c r="I9" s="292"/>
      <c r="J9" s="42"/>
      <c r="K9" s="291" t="e">
        <f>+#REF!</f>
        <v>#REF!</v>
      </c>
      <c r="L9" s="292"/>
      <c r="M9" s="42"/>
      <c r="N9" s="293"/>
      <c r="O9" s="294"/>
      <c r="P9" s="179"/>
      <c r="Q9" s="293"/>
      <c r="R9" s="294"/>
      <c r="S9" s="225"/>
      <c r="T9" s="293">
        <f>+N9+Q9</f>
        <v>0</v>
      </c>
      <c r="U9" s="294"/>
      <c r="V9" s="179"/>
      <c r="W9" s="559">
        <f t="shared" si="1"/>
        <v>9</v>
      </c>
      <c r="X9" s="524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</row>
    <row r="10" spans="1:58" s="70" customFormat="1" ht="12">
      <c r="A10" s="559">
        <f t="shared" si="0"/>
        <v>10</v>
      </c>
      <c r="B10" s="86"/>
      <c r="C10" s="252" t="s">
        <v>158</v>
      </c>
      <c r="D10" s="153"/>
      <c r="E10" s="61"/>
      <c r="F10" s="289"/>
      <c r="G10" s="290"/>
      <c r="H10" s="291">
        <f>+'[1]EST 2019'!M13</f>
        <v>0</v>
      </c>
      <c r="I10" s="292"/>
      <c r="J10" s="42"/>
      <c r="K10" s="291" t="e">
        <f>+#REF!</f>
        <v>#REF!</v>
      </c>
      <c r="L10" s="292"/>
      <c r="M10" s="42"/>
      <c r="N10" s="293"/>
      <c r="O10" s="294"/>
      <c r="P10" s="179"/>
      <c r="Q10" s="522">
        <v>36425</v>
      </c>
      <c r="R10" s="294"/>
      <c r="S10" s="225"/>
      <c r="T10" s="293">
        <f>+N10+Q10</f>
        <v>36425</v>
      </c>
      <c r="U10" s="294"/>
      <c r="V10" s="179"/>
      <c r="W10" s="559">
        <f t="shared" si="1"/>
        <v>10</v>
      </c>
      <c r="X10" s="524" t="s">
        <v>159</v>
      </c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</row>
    <row r="11" spans="1:58" s="70" customFormat="1" ht="12">
      <c r="A11" s="559">
        <f t="shared" si="0"/>
        <v>11</v>
      </c>
      <c r="B11" s="86"/>
      <c r="C11" s="88"/>
      <c r="D11" s="153"/>
      <c r="E11" s="61"/>
      <c r="F11" s="289"/>
      <c r="G11" s="290"/>
      <c r="H11" s="291"/>
      <c r="I11" s="292"/>
      <c r="J11" s="42"/>
      <c r="K11" s="291"/>
      <c r="L11" s="292"/>
      <c r="M11" s="42"/>
      <c r="N11" s="293"/>
      <c r="O11" s="294"/>
      <c r="P11" s="179"/>
      <c r="Q11" s="293"/>
      <c r="R11" s="294"/>
      <c r="S11" s="225"/>
      <c r="T11" s="293"/>
      <c r="U11" s="294"/>
      <c r="V11" s="179"/>
      <c r="W11" s="559">
        <f t="shared" si="1"/>
        <v>11</v>
      </c>
      <c r="X11" s="524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</row>
    <row r="12" spans="1:58" s="70" customFormat="1" ht="12">
      <c r="A12" s="559">
        <f t="shared" si="0"/>
        <v>12</v>
      </c>
      <c r="B12" s="121" t="s">
        <v>30</v>
      </c>
      <c r="C12" s="88"/>
      <c r="D12" s="153"/>
      <c r="E12" s="61"/>
      <c r="F12" s="372" t="e">
        <f>SUM(E13:E25)</f>
        <v>#REF!</v>
      </c>
      <c r="G12" s="297"/>
      <c r="H12" s="291"/>
      <c r="I12" s="188" t="e">
        <f>SUM(H13:H25)</f>
        <v>#REF!</v>
      </c>
      <c r="J12" s="42"/>
      <c r="K12" s="291"/>
      <c r="L12" s="188" t="e">
        <f>SUM(K13:K25)</f>
        <v>#REF!</v>
      </c>
      <c r="M12" s="42"/>
      <c r="N12" s="293"/>
      <c r="O12" s="296">
        <f>SUM(N13:N25)</f>
        <v>307000</v>
      </c>
      <c r="P12" s="179"/>
      <c r="Q12" s="293"/>
      <c r="R12" s="296">
        <f>SUM(Q13:Q25)</f>
        <v>-139932</v>
      </c>
      <c r="S12" s="225"/>
      <c r="T12" s="293"/>
      <c r="U12" s="296">
        <f>SUM(T13:T25)</f>
        <v>167068</v>
      </c>
      <c r="V12" s="179"/>
      <c r="W12" s="559">
        <f t="shared" si="1"/>
        <v>12</v>
      </c>
      <c r="X12" s="524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</row>
    <row r="13" spans="1:58" s="70" customFormat="1" ht="12">
      <c r="A13" s="559">
        <f t="shared" si="0"/>
        <v>13</v>
      </c>
      <c r="B13" s="90"/>
      <c r="C13" s="497" t="s">
        <v>45</v>
      </c>
      <c r="D13" s="189"/>
      <c r="E13" s="61" t="e">
        <f>+#REF!</f>
        <v>#REF!</v>
      </c>
      <c r="F13" s="289"/>
      <c r="G13" s="290"/>
      <c r="H13" s="291" t="e">
        <f>+#REF!</f>
        <v>#REF!</v>
      </c>
      <c r="I13" s="292"/>
      <c r="J13" s="298"/>
      <c r="K13" s="291" t="e">
        <f>+#REF!</f>
        <v>#REF!</v>
      </c>
      <c r="L13" s="292"/>
      <c r="M13" s="298"/>
      <c r="N13" s="299">
        <f>135000+5000</f>
        <v>140000</v>
      </c>
      <c r="O13" s="294"/>
      <c r="P13" s="179"/>
      <c r="Q13" s="293">
        <v>-54000</v>
      </c>
      <c r="R13" s="294"/>
      <c r="S13" s="225"/>
      <c r="T13" s="299">
        <f>+N13+Q13</f>
        <v>86000</v>
      </c>
      <c r="U13" s="294"/>
      <c r="V13" s="179"/>
      <c r="W13" s="559">
        <f t="shared" si="1"/>
        <v>13</v>
      </c>
      <c r="X13" s="524" t="s">
        <v>160</v>
      </c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</row>
    <row r="14" spans="1:58" s="70" customFormat="1" ht="12">
      <c r="A14" s="559">
        <f t="shared" si="0"/>
        <v>14</v>
      </c>
      <c r="B14" s="190"/>
      <c r="C14" s="221" t="s">
        <v>9</v>
      </c>
      <c r="D14" s="153"/>
      <c r="E14" s="61" t="e">
        <f>+#REF!</f>
        <v>#REF!</v>
      </c>
      <c r="F14" s="289"/>
      <c r="G14" s="290"/>
      <c r="H14" s="291" t="e">
        <f>+#REF!</f>
        <v>#REF!</v>
      </c>
      <c r="I14" s="292"/>
      <c r="J14" s="42"/>
      <c r="K14" s="291" t="e">
        <f>+#REF!</f>
        <v>#REF!</v>
      </c>
      <c r="L14" s="292"/>
      <c r="M14" s="42"/>
      <c r="N14" s="299">
        <v>70000</v>
      </c>
      <c r="O14" s="294"/>
      <c r="P14" s="179"/>
      <c r="Q14" s="293">
        <v>-70000</v>
      </c>
      <c r="R14" s="294"/>
      <c r="S14" s="225"/>
      <c r="T14" s="299">
        <f t="shared" ref="T14:T25" si="2">+N14+Q14</f>
        <v>0</v>
      </c>
      <c r="U14" s="294"/>
      <c r="V14" s="179"/>
      <c r="W14" s="559">
        <f t="shared" si="1"/>
        <v>14</v>
      </c>
      <c r="X14" s="524" t="s">
        <v>150</v>
      </c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</row>
    <row r="15" spans="1:58" s="70" customFormat="1" ht="12">
      <c r="A15" s="559">
        <f t="shared" si="0"/>
        <v>15</v>
      </c>
      <c r="B15" s="93"/>
      <c r="C15" s="221" t="s">
        <v>33</v>
      </c>
      <c r="D15" s="153"/>
      <c r="E15" s="61" t="e">
        <f>+#REF!</f>
        <v>#REF!</v>
      </c>
      <c r="F15" s="289"/>
      <c r="G15" s="290"/>
      <c r="H15" s="291" t="e">
        <f>+#REF!</f>
        <v>#REF!</v>
      </c>
      <c r="I15" s="292"/>
      <c r="J15" s="42"/>
      <c r="K15" s="291" t="e">
        <f>+#REF!</f>
        <v>#REF!</v>
      </c>
      <c r="L15" s="292"/>
      <c r="M15" s="42"/>
      <c r="N15" s="299">
        <v>20000</v>
      </c>
      <c r="O15" s="294"/>
      <c r="P15" s="179"/>
      <c r="Q15" s="293"/>
      <c r="R15" s="294"/>
      <c r="S15" s="225"/>
      <c r="T15" s="299">
        <f t="shared" si="2"/>
        <v>20000</v>
      </c>
      <c r="U15" s="294"/>
      <c r="V15" s="179"/>
      <c r="W15" s="559">
        <f t="shared" si="1"/>
        <v>15</v>
      </c>
      <c r="X15" s="524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</row>
    <row r="16" spans="1:58" s="70" customFormat="1" ht="12">
      <c r="A16" s="559">
        <f t="shared" si="0"/>
        <v>16</v>
      </c>
      <c r="B16" s="93"/>
      <c r="C16" s="249" t="s">
        <v>47</v>
      </c>
      <c r="D16" s="153"/>
      <c r="E16" s="61" t="e">
        <f>+#REF!</f>
        <v>#REF!</v>
      </c>
      <c r="F16" s="289"/>
      <c r="G16" s="290"/>
      <c r="H16" s="291" t="e">
        <f>+#REF!</f>
        <v>#REF!</v>
      </c>
      <c r="I16" s="292"/>
      <c r="J16" s="42"/>
      <c r="K16" s="291" t="e">
        <f>+#REF!</f>
        <v>#REF!</v>
      </c>
      <c r="L16" s="292"/>
      <c r="M16" s="42"/>
      <c r="N16" s="299">
        <v>25000</v>
      </c>
      <c r="O16" s="294"/>
      <c r="P16" s="179"/>
      <c r="Q16" s="293">
        <v>-9000</v>
      </c>
      <c r="R16" s="294"/>
      <c r="S16" s="225"/>
      <c r="T16" s="299">
        <f t="shared" si="2"/>
        <v>16000</v>
      </c>
      <c r="U16" s="294"/>
      <c r="V16" s="179"/>
      <c r="W16" s="559">
        <f t="shared" si="1"/>
        <v>16</v>
      </c>
      <c r="X16" s="524" t="s">
        <v>151</v>
      </c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</row>
    <row r="17" spans="1:58" s="70" customFormat="1" ht="12">
      <c r="A17" s="559">
        <f t="shared" si="0"/>
        <v>17</v>
      </c>
      <c r="B17" s="93"/>
      <c r="C17" s="221" t="s">
        <v>10</v>
      </c>
      <c r="D17" s="153"/>
      <c r="E17" s="61" t="e">
        <f>+#REF!</f>
        <v>#REF!</v>
      </c>
      <c r="F17" s="289"/>
      <c r="G17" s="290"/>
      <c r="H17" s="291" t="e">
        <f>+#REF!</f>
        <v>#REF!</v>
      </c>
      <c r="I17" s="292"/>
      <c r="J17" s="42"/>
      <c r="K17" s="291" t="e">
        <f>+#REF!</f>
        <v>#REF!</v>
      </c>
      <c r="L17" s="292"/>
      <c r="M17" s="42"/>
      <c r="N17" s="299">
        <f>3000+13000</f>
        <v>16000</v>
      </c>
      <c r="O17" s="294"/>
      <c r="P17" s="179"/>
      <c r="Q17" s="293">
        <f>-16000+9068</f>
        <v>-6932</v>
      </c>
      <c r="R17" s="294"/>
      <c r="S17" s="225"/>
      <c r="T17" s="299">
        <f t="shared" si="2"/>
        <v>9068</v>
      </c>
      <c r="U17" s="294"/>
      <c r="V17" s="179"/>
      <c r="W17" s="559">
        <f t="shared" si="1"/>
        <v>17</v>
      </c>
      <c r="X17" s="524" t="s">
        <v>152</v>
      </c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</row>
    <row r="18" spans="1:58" s="70" customFormat="1" ht="12">
      <c r="A18" s="559">
        <f t="shared" si="0"/>
        <v>18</v>
      </c>
      <c r="B18" s="93"/>
      <c r="C18" s="221" t="s">
        <v>85</v>
      </c>
      <c r="D18" s="153"/>
      <c r="E18" s="61" t="e">
        <f>+#REF!</f>
        <v>#REF!</v>
      </c>
      <c r="F18" s="289"/>
      <c r="G18" s="290"/>
      <c r="H18" s="291" t="e">
        <f>+#REF!</f>
        <v>#REF!</v>
      </c>
      <c r="I18" s="292"/>
      <c r="J18" s="42"/>
      <c r="K18" s="291" t="e">
        <f>+#REF!</f>
        <v>#REF!</v>
      </c>
      <c r="L18" s="292"/>
      <c r="M18" s="42"/>
      <c r="N18" s="299">
        <v>0</v>
      </c>
      <c r="O18" s="294"/>
      <c r="P18" s="179"/>
      <c r="Q18" s="293"/>
      <c r="R18" s="294"/>
      <c r="S18" s="225"/>
      <c r="T18" s="299">
        <f t="shared" si="2"/>
        <v>0</v>
      </c>
      <c r="U18" s="294"/>
      <c r="V18" s="179"/>
      <c r="W18" s="559">
        <f t="shared" si="1"/>
        <v>18</v>
      </c>
      <c r="X18" s="524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</row>
    <row r="19" spans="1:58" s="179" customFormat="1" ht="12">
      <c r="A19" s="559">
        <f t="shared" si="0"/>
        <v>19</v>
      </c>
      <c r="B19" s="190"/>
      <c r="C19" s="221" t="s">
        <v>37</v>
      </c>
      <c r="D19" s="164"/>
      <c r="E19" s="61" t="e">
        <f>+#REF!</f>
        <v>#REF!</v>
      </c>
      <c r="F19" s="289"/>
      <c r="G19" s="290"/>
      <c r="H19" s="291" t="e">
        <f>+#REF!</f>
        <v>#REF!</v>
      </c>
      <c r="I19" s="292"/>
      <c r="J19" s="300"/>
      <c r="K19" s="291" t="e">
        <f>+#REF!</f>
        <v>#REF!</v>
      </c>
      <c r="L19" s="292"/>
      <c r="M19" s="300"/>
      <c r="N19" s="293">
        <v>0</v>
      </c>
      <c r="O19" s="294"/>
      <c r="Q19" s="293"/>
      <c r="R19" s="294"/>
      <c r="S19" s="225"/>
      <c r="T19" s="299">
        <f t="shared" si="2"/>
        <v>0</v>
      </c>
      <c r="U19" s="294"/>
      <c r="W19" s="559">
        <f t="shared" si="1"/>
        <v>19</v>
      </c>
      <c r="X19" s="524"/>
    </row>
    <row r="20" spans="1:58" s="70" customFormat="1" ht="12">
      <c r="A20" s="559">
        <f t="shared" si="0"/>
        <v>20</v>
      </c>
      <c r="B20" s="93"/>
      <c r="C20" s="221" t="s">
        <v>38</v>
      </c>
      <c r="D20" s="153"/>
      <c r="E20" s="61" t="e">
        <f>+#REF!</f>
        <v>#REF!</v>
      </c>
      <c r="F20" s="301"/>
      <c r="G20" s="290"/>
      <c r="H20" s="291" t="e">
        <f>+#REF!</f>
        <v>#REF!</v>
      </c>
      <c r="I20" s="302"/>
      <c r="J20" s="42"/>
      <c r="K20" s="291" t="e">
        <f>+#REF!</f>
        <v>#REF!</v>
      </c>
      <c r="L20" s="302"/>
      <c r="M20" s="42"/>
      <c r="N20" s="299">
        <f>15000+1500</f>
        <v>16500</v>
      </c>
      <c r="O20" s="303"/>
      <c r="P20" s="179"/>
      <c r="Q20" s="293"/>
      <c r="R20" s="303"/>
      <c r="S20" s="225"/>
      <c r="T20" s="299">
        <f t="shared" si="2"/>
        <v>16500</v>
      </c>
      <c r="U20" s="303"/>
      <c r="V20" s="179"/>
      <c r="W20" s="559">
        <f t="shared" si="1"/>
        <v>20</v>
      </c>
      <c r="X20" s="524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</row>
    <row r="21" spans="1:58" s="70" customFormat="1" ht="12">
      <c r="A21" s="559">
        <f t="shared" si="0"/>
        <v>21</v>
      </c>
      <c r="B21" s="192"/>
      <c r="C21" s="193" t="s">
        <v>39</v>
      </c>
      <c r="D21" s="194"/>
      <c r="E21" s="61" t="e">
        <f>+#REF!</f>
        <v>#REF!</v>
      </c>
      <c r="F21" s="301"/>
      <c r="G21" s="290"/>
      <c r="H21" s="291" t="e">
        <f>+#REF!</f>
        <v>#REF!</v>
      </c>
      <c r="I21" s="302"/>
      <c r="J21" s="300"/>
      <c r="K21" s="291" t="e">
        <f>+#REF!</f>
        <v>#REF!</v>
      </c>
      <c r="L21" s="302"/>
      <c r="M21" s="300"/>
      <c r="N21" s="299">
        <v>5000</v>
      </c>
      <c r="O21" s="303"/>
      <c r="P21" s="179"/>
      <c r="Q21" s="293"/>
      <c r="R21" s="303"/>
      <c r="S21" s="225"/>
      <c r="T21" s="299">
        <f t="shared" si="2"/>
        <v>5000</v>
      </c>
      <c r="U21" s="303"/>
      <c r="V21" s="179"/>
      <c r="W21" s="559">
        <f t="shared" si="1"/>
        <v>21</v>
      </c>
      <c r="X21" s="524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</row>
    <row r="22" spans="1:58" s="70" customFormat="1" ht="12">
      <c r="A22" s="559">
        <f t="shared" si="0"/>
        <v>22</v>
      </c>
      <c r="B22" s="190"/>
      <c r="C22" s="221" t="s">
        <v>40</v>
      </c>
      <c r="D22" s="164"/>
      <c r="E22" s="61" t="e">
        <f>+#REF!</f>
        <v>#REF!</v>
      </c>
      <c r="F22" s="301"/>
      <c r="G22" s="290"/>
      <c r="H22" s="291" t="e">
        <f>+#REF!</f>
        <v>#REF!</v>
      </c>
      <c r="I22" s="302"/>
      <c r="J22" s="300"/>
      <c r="K22" s="291" t="e">
        <f>+#REF!</f>
        <v>#REF!</v>
      </c>
      <c r="L22" s="302"/>
      <c r="M22" s="300"/>
      <c r="N22" s="299">
        <v>3000</v>
      </c>
      <c r="O22" s="303"/>
      <c r="P22" s="179"/>
      <c r="Q22" s="293"/>
      <c r="R22" s="303"/>
      <c r="S22" s="225"/>
      <c r="T22" s="299">
        <f t="shared" si="2"/>
        <v>3000</v>
      </c>
      <c r="U22" s="303"/>
      <c r="V22" s="179"/>
      <c r="W22" s="559">
        <f t="shared" si="1"/>
        <v>22</v>
      </c>
      <c r="X22" s="524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</row>
    <row r="23" spans="1:58" s="179" customFormat="1" ht="12">
      <c r="A23" s="559">
        <f t="shared" si="0"/>
        <v>23</v>
      </c>
      <c r="B23" s="190"/>
      <c r="C23" s="221" t="s">
        <v>41</v>
      </c>
      <c r="D23" s="164"/>
      <c r="E23" s="61" t="e">
        <f>+#REF!</f>
        <v>#REF!</v>
      </c>
      <c r="F23" s="301"/>
      <c r="G23" s="290"/>
      <c r="H23" s="291" t="e">
        <f>+#REF!</f>
        <v>#REF!</v>
      </c>
      <c r="I23" s="302"/>
      <c r="J23" s="300"/>
      <c r="K23" s="291" t="e">
        <f>+#REF!</f>
        <v>#REF!</v>
      </c>
      <c r="L23" s="302"/>
      <c r="M23" s="300"/>
      <c r="N23" s="293">
        <v>0</v>
      </c>
      <c r="O23" s="303"/>
      <c r="Q23" s="293"/>
      <c r="R23" s="303"/>
      <c r="S23" s="225"/>
      <c r="T23" s="299">
        <f t="shared" si="2"/>
        <v>0</v>
      </c>
      <c r="U23" s="303"/>
      <c r="W23" s="559">
        <f t="shared" si="1"/>
        <v>23</v>
      </c>
      <c r="X23" s="524"/>
    </row>
    <row r="24" spans="1:58" s="70" customFormat="1" ht="12">
      <c r="A24" s="559">
        <f t="shared" si="0"/>
        <v>24</v>
      </c>
      <c r="B24" s="93"/>
      <c r="C24" s="88" t="s">
        <v>11</v>
      </c>
      <c r="D24" s="153"/>
      <c r="E24" s="61" t="e">
        <f>+#REF!</f>
        <v>#REF!</v>
      </c>
      <c r="F24" s="301"/>
      <c r="G24" s="290"/>
      <c r="H24" s="291" t="e">
        <f>+#REF!</f>
        <v>#REF!</v>
      </c>
      <c r="I24" s="302"/>
      <c r="J24" s="42"/>
      <c r="K24" s="291" t="e">
        <f>+#REF!</f>
        <v>#REF!</v>
      </c>
      <c r="L24" s="302"/>
      <c r="M24" s="42"/>
      <c r="N24" s="299">
        <v>2500</v>
      </c>
      <c r="O24" s="303"/>
      <c r="P24" s="179"/>
      <c r="Q24" s="287"/>
      <c r="R24" s="303"/>
      <c r="S24" s="225"/>
      <c r="T24" s="299">
        <f t="shared" si="2"/>
        <v>2500</v>
      </c>
      <c r="U24" s="303"/>
      <c r="V24" s="179"/>
      <c r="W24" s="559">
        <f t="shared" si="1"/>
        <v>24</v>
      </c>
      <c r="X24" s="524" t="s">
        <v>153</v>
      </c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</row>
    <row r="25" spans="1:58" s="70" customFormat="1" ht="12">
      <c r="A25" s="559">
        <f t="shared" si="0"/>
        <v>25</v>
      </c>
      <c r="B25" s="93"/>
      <c r="C25" s="249" t="s">
        <v>110</v>
      </c>
      <c r="D25" s="153"/>
      <c r="E25" s="61"/>
      <c r="F25" s="301"/>
      <c r="G25" s="290"/>
      <c r="H25" s="304"/>
      <c r="I25" s="302"/>
      <c r="J25" s="42"/>
      <c r="K25" s="304"/>
      <c r="L25" s="302"/>
      <c r="M25" s="42"/>
      <c r="N25" s="299">
        <v>9000</v>
      </c>
      <c r="O25" s="303"/>
      <c r="P25" s="179"/>
      <c r="Q25" s="318"/>
      <c r="R25" s="303"/>
      <c r="S25" s="225"/>
      <c r="T25" s="299">
        <f t="shared" si="2"/>
        <v>9000</v>
      </c>
      <c r="U25" s="303"/>
      <c r="V25" s="179"/>
      <c r="W25" s="559">
        <f t="shared" si="1"/>
        <v>25</v>
      </c>
      <c r="X25" s="524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</row>
    <row r="26" spans="1:58" s="70" customFormat="1" ht="12">
      <c r="A26" s="559">
        <f t="shared" si="0"/>
        <v>26</v>
      </c>
      <c r="B26" s="305" t="s">
        <v>86</v>
      </c>
      <c r="C26" s="506"/>
      <c r="D26" s="164"/>
      <c r="E26" s="263"/>
      <c r="F26" s="307" t="e">
        <f>SUM(F5:F24)</f>
        <v>#REF!</v>
      </c>
      <c r="G26" s="74"/>
      <c r="H26" s="308"/>
      <c r="I26" s="307" t="e">
        <f>SUM(I5:I24)</f>
        <v>#REF!</v>
      </c>
      <c r="J26" s="300"/>
      <c r="K26" s="308"/>
      <c r="L26" s="307" t="e">
        <f>SUM(L5:L24)</f>
        <v>#REF!</v>
      </c>
      <c r="M26" s="300"/>
      <c r="N26" s="306"/>
      <c r="O26" s="307">
        <f>SUM(O5:O24)</f>
        <v>422000</v>
      </c>
      <c r="P26" s="495">
        <f>SUM(N5:N25)+O5</f>
        <v>422000</v>
      </c>
      <c r="Q26" s="309"/>
      <c r="R26" s="481">
        <f>SUM(R5:R24)</f>
        <v>-128507</v>
      </c>
      <c r="S26" s="225"/>
      <c r="T26" s="309"/>
      <c r="U26" s="481">
        <f>SUM(U5:U24)</f>
        <v>293493</v>
      </c>
      <c r="V26" s="495">
        <f>SUM(T5:T25)+U5</f>
        <v>293493</v>
      </c>
      <c r="W26" s="559">
        <f t="shared" si="1"/>
        <v>26</v>
      </c>
      <c r="X26" s="524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</row>
    <row r="27" spans="1:58" s="70" customFormat="1" ht="13" thickBot="1">
      <c r="A27" s="559">
        <f t="shared" si="0"/>
        <v>27</v>
      </c>
      <c r="B27" s="93"/>
      <c r="C27" s="88"/>
      <c r="D27" s="153"/>
      <c r="E27" s="277"/>
      <c r="F27" s="310"/>
      <c r="G27" s="311"/>
      <c r="H27" s="279"/>
      <c r="I27" s="312"/>
      <c r="J27" s="42"/>
      <c r="K27" s="279"/>
      <c r="L27" s="312"/>
      <c r="M27" s="42"/>
      <c r="N27" s="280"/>
      <c r="O27" s="313"/>
      <c r="P27" s="179"/>
      <c r="Q27" s="280"/>
      <c r="R27" s="313"/>
      <c r="S27" s="225"/>
      <c r="T27" s="280"/>
      <c r="U27" s="313"/>
      <c r="V27" s="179"/>
      <c r="W27" s="559">
        <f t="shared" si="1"/>
        <v>27</v>
      </c>
      <c r="X27" s="524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</row>
    <row r="28" spans="1:58" s="70" customFormat="1" ht="13" thickBot="1">
      <c r="A28" s="559">
        <f t="shared" si="0"/>
        <v>28</v>
      </c>
      <c r="B28" s="314" t="s">
        <v>87</v>
      </c>
      <c r="C28" s="176"/>
      <c r="D28" s="153"/>
      <c r="E28" s="277"/>
      <c r="F28" s="315"/>
      <c r="G28" s="311"/>
      <c r="H28" s="279"/>
      <c r="I28" s="316"/>
      <c r="J28" s="42"/>
      <c r="K28" s="279"/>
      <c r="L28" s="316"/>
      <c r="M28" s="42"/>
      <c r="N28" s="280"/>
      <c r="O28" s="317"/>
      <c r="P28" s="179"/>
      <c r="Q28" s="280"/>
      <c r="R28" s="317"/>
      <c r="S28" s="225"/>
      <c r="T28" s="280"/>
      <c r="U28" s="317"/>
      <c r="V28" s="179"/>
      <c r="W28" s="559">
        <f t="shared" si="1"/>
        <v>28</v>
      </c>
      <c r="X28" s="524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</row>
    <row r="29" spans="1:58" s="70" customFormat="1" ht="12">
      <c r="A29" s="559">
        <f t="shared" si="0"/>
        <v>29</v>
      </c>
      <c r="B29" s="86" t="s">
        <v>44</v>
      </c>
      <c r="C29" s="88"/>
      <c r="D29" s="153"/>
      <c r="E29" s="295"/>
      <c r="F29" s="372" t="e">
        <f>SUM(E30:E41)</f>
        <v>#REF!</v>
      </c>
      <c r="G29" s="297"/>
      <c r="H29" s="291"/>
      <c r="I29" s="188" t="e">
        <f>SUM(H30:H43)</f>
        <v>#REF!</v>
      </c>
      <c r="J29" s="42"/>
      <c r="K29" s="291"/>
      <c r="L29" s="188" t="e">
        <f>SUM(K30:K43)</f>
        <v>#REF!</v>
      </c>
      <c r="M29" s="42"/>
      <c r="N29" s="293"/>
      <c r="O29" s="296">
        <f>SUM(N30:N42)</f>
        <v>203000</v>
      </c>
      <c r="P29" s="179"/>
      <c r="Q29" s="293"/>
      <c r="R29" s="296">
        <f>SUM(Q30:Q42)</f>
        <v>-125872</v>
      </c>
      <c r="S29" s="225"/>
      <c r="T29" s="293"/>
      <c r="U29" s="296">
        <f>SUM(T30:T42)</f>
        <v>77128</v>
      </c>
      <c r="V29" s="179"/>
      <c r="W29" s="559">
        <f t="shared" si="1"/>
        <v>29</v>
      </c>
      <c r="X29" s="524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</row>
    <row r="30" spans="1:58" s="70" customFormat="1" ht="12">
      <c r="A30" s="559">
        <f t="shared" si="0"/>
        <v>30</v>
      </c>
      <c r="B30" s="93"/>
      <c r="C30" s="249" t="s">
        <v>45</v>
      </c>
      <c r="D30" s="153"/>
      <c r="E30" s="503" t="e">
        <f>+#REF!</f>
        <v>#REF!</v>
      </c>
      <c r="F30" s="289"/>
      <c r="G30" s="290"/>
      <c r="H30" s="291" t="e">
        <f>+#REF!</f>
        <v>#REF!</v>
      </c>
      <c r="I30" s="292"/>
      <c r="J30" s="42"/>
      <c r="K30" s="291" t="e">
        <f>+#REF!</f>
        <v>#REF!</v>
      </c>
      <c r="L30" s="292"/>
      <c r="M30" s="42"/>
      <c r="N30" s="299">
        <v>76000</v>
      </c>
      <c r="O30" s="294"/>
      <c r="P30" s="179"/>
      <c r="Q30" s="293">
        <v>-70000</v>
      </c>
      <c r="R30" s="294"/>
      <c r="S30" s="225"/>
      <c r="T30" s="299">
        <f>+N30+Q30</f>
        <v>6000</v>
      </c>
      <c r="U30" s="294"/>
      <c r="V30" s="179"/>
      <c r="W30" s="559">
        <f t="shared" si="1"/>
        <v>30</v>
      </c>
      <c r="X30" s="524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</row>
    <row r="31" spans="1:58" s="70" customFormat="1" ht="12">
      <c r="A31" s="559">
        <f t="shared" si="0"/>
        <v>31</v>
      </c>
      <c r="B31" s="190"/>
      <c r="C31" s="221" t="s">
        <v>9</v>
      </c>
      <c r="D31" s="153"/>
      <c r="E31" s="503" t="e">
        <f>+#REF!</f>
        <v>#REF!</v>
      </c>
      <c r="F31" s="289"/>
      <c r="G31" s="290"/>
      <c r="H31" s="291" t="e">
        <f>+#REF!</f>
        <v>#REF!</v>
      </c>
      <c r="I31" s="292"/>
      <c r="J31" s="42"/>
      <c r="K31" s="291" t="e">
        <f>+#REF!</f>
        <v>#REF!</v>
      </c>
      <c r="L31" s="292"/>
      <c r="M31" s="42"/>
      <c r="N31" s="299">
        <v>54000</v>
      </c>
      <c r="O31" s="294"/>
      <c r="P31" s="179"/>
      <c r="Q31" s="293">
        <v>-54000</v>
      </c>
      <c r="R31" s="294"/>
      <c r="S31" s="225"/>
      <c r="T31" s="299">
        <f t="shared" ref="T31:T42" si="3">+N31+Q31</f>
        <v>0</v>
      </c>
      <c r="U31" s="294"/>
      <c r="V31" s="179"/>
      <c r="W31" s="559">
        <f t="shared" si="1"/>
        <v>31</v>
      </c>
      <c r="X31" s="524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</row>
    <row r="32" spans="1:58" s="70" customFormat="1" ht="12">
      <c r="A32" s="559">
        <f t="shared" si="0"/>
        <v>32</v>
      </c>
      <c r="B32" s="93"/>
      <c r="C32" s="88" t="s">
        <v>46</v>
      </c>
      <c r="D32" s="153"/>
      <c r="E32" s="503">
        <v>20000</v>
      </c>
      <c r="F32" s="289"/>
      <c r="G32" s="290"/>
      <c r="H32" s="291" t="e">
        <f>+#REF!</f>
        <v>#REF!</v>
      </c>
      <c r="I32" s="292"/>
      <c r="J32" s="42"/>
      <c r="K32" s="291" t="e">
        <f>+#REF!</f>
        <v>#REF!</v>
      </c>
      <c r="L32" s="292"/>
      <c r="M32" s="42"/>
      <c r="N32" s="299">
        <v>20000</v>
      </c>
      <c r="O32" s="294"/>
      <c r="P32" s="179"/>
      <c r="Q32" s="293"/>
      <c r="R32" s="294"/>
      <c r="S32" s="225"/>
      <c r="T32" s="299">
        <f t="shared" si="3"/>
        <v>20000</v>
      </c>
      <c r="U32" s="294"/>
      <c r="V32" s="179"/>
      <c r="W32" s="559">
        <f t="shared" si="1"/>
        <v>32</v>
      </c>
      <c r="X32" s="524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</row>
    <row r="33" spans="1:58" s="70" customFormat="1" ht="12">
      <c r="A33" s="559">
        <f t="shared" si="0"/>
        <v>33</v>
      </c>
      <c r="B33" s="93"/>
      <c r="C33" s="249" t="s">
        <v>47</v>
      </c>
      <c r="D33" s="153"/>
      <c r="E33" s="503">
        <v>0</v>
      </c>
      <c r="F33" s="289"/>
      <c r="G33" s="290"/>
      <c r="H33" s="291" t="e">
        <f>+#REF!</f>
        <v>#REF!</v>
      </c>
      <c r="I33" s="292"/>
      <c r="J33" s="42"/>
      <c r="K33" s="291" t="e">
        <f>+#REF!</f>
        <v>#REF!</v>
      </c>
      <c r="L33" s="292"/>
      <c r="M33" s="42"/>
      <c r="N33" s="299">
        <v>20000</v>
      </c>
      <c r="O33" s="294"/>
      <c r="P33" s="179"/>
      <c r="Q33" s="293">
        <v>-8000</v>
      </c>
      <c r="R33" s="294"/>
      <c r="S33" s="225"/>
      <c r="T33" s="299">
        <f t="shared" si="3"/>
        <v>12000</v>
      </c>
      <c r="U33" s="294"/>
      <c r="V33" s="179"/>
      <c r="W33" s="559">
        <f t="shared" si="1"/>
        <v>33</v>
      </c>
      <c r="X33" s="524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</row>
    <row r="34" spans="1:58" s="70" customFormat="1" ht="12">
      <c r="A34" s="559">
        <f t="shared" si="0"/>
        <v>34</v>
      </c>
      <c r="B34" s="93"/>
      <c r="C34" s="221" t="s">
        <v>10</v>
      </c>
      <c r="D34" s="153"/>
      <c r="E34" s="503">
        <v>8500</v>
      </c>
      <c r="F34" s="289"/>
      <c r="G34" s="290"/>
      <c r="H34" s="291" t="e">
        <f>+#REF!</f>
        <v>#REF!</v>
      </c>
      <c r="I34" s="292"/>
      <c r="J34" s="42"/>
      <c r="K34" s="291" t="e">
        <f>+#REF!</f>
        <v>#REF!</v>
      </c>
      <c r="L34" s="292"/>
      <c r="M34" s="42"/>
      <c r="N34" s="299">
        <v>4500</v>
      </c>
      <c r="O34" s="294"/>
      <c r="P34" s="179"/>
      <c r="Q34" s="293">
        <f>10628-4500</f>
        <v>6128</v>
      </c>
      <c r="R34" s="294"/>
      <c r="S34" s="225"/>
      <c r="T34" s="299">
        <f t="shared" si="3"/>
        <v>10628</v>
      </c>
      <c r="U34" s="294"/>
      <c r="V34" s="179"/>
      <c r="W34" s="559">
        <f t="shared" si="1"/>
        <v>34</v>
      </c>
      <c r="X34" s="524" t="s">
        <v>152</v>
      </c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</row>
    <row r="35" spans="1:58" s="70" customFormat="1" ht="12">
      <c r="A35" s="559">
        <f t="shared" si="0"/>
        <v>35</v>
      </c>
      <c r="B35" s="93"/>
      <c r="C35" s="221" t="s">
        <v>48</v>
      </c>
      <c r="D35" s="153"/>
      <c r="E35" s="503">
        <v>15000</v>
      </c>
      <c r="F35" s="289"/>
      <c r="G35" s="290"/>
      <c r="H35" s="291" t="e">
        <f>+#REF!</f>
        <v>#REF!</v>
      </c>
      <c r="I35" s="292"/>
      <c r="J35" s="42"/>
      <c r="K35" s="291" t="e">
        <f>+#REF!</f>
        <v>#REF!</v>
      </c>
      <c r="L35" s="292"/>
      <c r="M35" s="42"/>
      <c r="N35" s="299">
        <v>0</v>
      </c>
      <c r="O35" s="294"/>
      <c r="P35" s="179"/>
      <c r="Q35" s="293"/>
      <c r="R35" s="294"/>
      <c r="S35" s="225"/>
      <c r="T35" s="299">
        <f t="shared" si="3"/>
        <v>0</v>
      </c>
      <c r="U35" s="294"/>
      <c r="V35" s="179"/>
      <c r="W35" s="559">
        <f t="shared" si="1"/>
        <v>35</v>
      </c>
      <c r="X35" s="524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</row>
    <row r="36" spans="1:58" s="70" customFormat="1" ht="12">
      <c r="A36" s="559">
        <f t="shared" si="0"/>
        <v>36</v>
      </c>
      <c r="B36" s="190"/>
      <c r="C36" s="221" t="s">
        <v>49</v>
      </c>
      <c r="D36" s="153"/>
      <c r="E36" s="503">
        <v>5000</v>
      </c>
      <c r="F36" s="289"/>
      <c r="G36" s="290"/>
      <c r="H36" s="291" t="e">
        <f>+#REF!</f>
        <v>#REF!</v>
      </c>
      <c r="I36" s="292"/>
      <c r="J36" s="42"/>
      <c r="K36" s="291" t="e">
        <f>+#REF!</f>
        <v>#REF!</v>
      </c>
      <c r="L36" s="292"/>
      <c r="M36" s="42"/>
      <c r="N36" s="299">
        <v>0</v>
      </c>
      <c r="O36" s="294"/>
      <c r="P36" s="179"/>
      <c r="Q36" s="293"/>
      <c r="R36" s="294"/>
      <c r="S36" s="225"/>
      <c r="T36" s="299">
        <f t="shared" si="3"/>
        <v>0</v>
      </c>
      <c r="U36" s="294"/>
      <c r="V36" s="179"/>
      <c r="W36" s="559">
        <f t="shared" si="1"/>
        <v>36</v>
      </c>
      <c r="X36" s="524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</row>
    <row r="37" spans="1:58" s="70" customFormat="1" ht="12">
      <c r="A37" s="559">
        <f t="shared" si="0"/>
        <v>37</v>
      </c>
      <c r="B37" s="93"/>
      <c r="C37" s="221" t="s">
        <v>37</v>
      </c>
      <c r="D37" s="153"/>
      <c r="E37" s="503">
        <v>0</v>
      </c>
      <c r="F37" s="289"/>
      <c r="G37" s="290"/>
      <c r="H37" s="291" t="e">
        <f>+#REF!</f>
        <v>#REF!</v>
      </c>
      <c r="I37" s="292"/>
      <c r="J37" s="42"/>
      <c r="K37" s="291" t="e">
        <f>+#REF!</f>
        <v>#REF!</v>
      </c>
      <c r="L37" s="292"/>
      <c r="M37" s="42"/>
      <c r="N37" s="299">
        <v>0</v>
      </c>
      <c r="O37" s="294"/>
      <c r="P37" s="179"/>
      <c r="Q37" s="293"/>
      <c r="R37" s="294"/>
      <c r="S37" s="225"/>
      <c r="T37" s="299">
        <f t="shared" si="3"/>
        <v>0</v>
      </c>
      <c r="U37" s="294"/>
      <c r="V37" s="179"/>
      <c r="W37" s="559">
        <f t="shared" si="1"/>
        <v>37</v>
      </c>
      <c r="X37" s="524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</row>
    <row r="38" spans="1:58" s="201" customFormat="1" ht="12">
      <c r="A38" s="559">
        <f t="shared" si="0"/>
        <v>38</v>
      </c>
      <c r="B38" s="190"/>
      <c r="C38" s="221" t="s">
        <v>111</v>
      </c>
      <c r="D38" s="164"/>
      <c r="E38" s="503">
        <v>5000</v>
      </c>
      <c r="F38" s="289"/>
      <c r="G38" s="290"/>
      <c r="H38" s="291" t="e">
        <f>+#REF!</f>
        <v>#REF!</v>
      </c>
      <c r="I38" s="292"/>
      <c r="J38" s="300"/>
      <c r="K38" s="291" t="e">
        <f>+#REF!</f>
        <v>#REF!</v>
      </c>
      <c r="L38" s="292"/>
      <c r="M38" s="300"/>
      <c r="N38" s="299">
        <v>2000</v>
      </c>
      <c r="O38" s="294"/>
      <c r="P38" s="179"/>
      <c r="Q38" s="280"/>
      <c r="R38" s="294"/>
      <c r="S38" s="225"/>
      <c r="T38" s="299">
        <f t="shared" si="3"/>
        <v>2000</v>
      </c>
      <c r="U38" s="294"/>
      <c r="V38" s="179"/>
      <c r="W38" s="559">
        <f t="shared" si="1"/>
        <v>38</v>
      </c>
      <c r="X38" s="524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</row>
    <row r="39" spans="1:58" s="70" customFormat="1" ht="12">
      <c r="A39" s="559">
        <f t="shared" si="0"/>
        <v>39</v>
      </c>
      <c r="B39" s="93"/>
      <c r="C39" s="88" t="s">
        <v>38</v>
      </c>
      <c r="D39" s="164"/>
      <c r="E39" s="503">
        <v>12500</v>
      </c>
      <c r="F39" s="289"/>
      <c r="G39" s="290"/>
      <c r="H39" s="291" t="e">
        <f>+#REF!</f>
        <v>#REF!</v>
      </c>
      <c r="I39" s="292"/>
      <c r="J39" s="300"/>
      <c r="K39" s="291" t="e">
        <f>+#REF!</f>
        <v>#REF!</v>
      </c>
      <c r="L39" s="292"/>
      <c r="M39" s="300"/>
      <c r="N39" s="299">
        <v>14000</v>
      </c>
      <c r="O39" s="294"/>
      <c r="P39" s="179"/>
      <c r="Q39" s="293"/>
      <c r="R39" s="294"/>
      <c r="S39" s="225"/>
      <c r="T39" s="299">
        <f t="shared" si="3"/>
        <v>14000</v>
      </c>
      <c r="U39" s="294"/>
      <c r="V39" s="179"/>
      <c r="W39" s="559">
        <f t="shared" si="1"/>
        <v>39</v>
      </c>
      <c r="X39" s="524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</row>
    <row r="40" spans="1:58" s="201" customFormat="1" ht="12">
      <c r="A40" s="559">
        <f t="shared" si="0"/>
        <v>40</v>
      </c>
      <c r="B40" s="190"/>
      <c r="C40" s="221" t="s">
        <v>12</v>
      </c>
      <c r="D40" s="164"/>
      <c r="E40" s="503">
        <v>2500</v>
      </c>
      <c r="F40" s="289"/>
      <c r="G40" s="290"/>
      <c r="H40" s="291" t="e">
        <f>+#REF!</f>
        <v>#REF!</v>
      </c>
      <c r="I40" s="292"/>
      <c r="J40" s="300"/>
      <c r="K40" s="291" t="e">
        <f>+#REF!</f>
        <v>#REF!</v>
      </c>
      <c r="L40" s="292"/>
      <c r="M40" s="300"/>
      <c r="N40" s="299">
        <v>2500</v>
      </c>
      <c r="O40" s="294"/>
      <c r="P40" s="179"/>
      <c r="Q40" s="293"/>
      <c r="R40" s="294"/>
      <c r="S40" s="225"/>
      <c r="T40" s="299">
        <f t="shared" si="3"/>
        <v>2500</v>
      </c>
      <c r="U40" s="294"/>
      <c r="V40" s="179"/>
      <c r="W40" s="559">
        <f t="shared" si="1"/>
        <v>40</v>
      </c>
      <c r="X40" s="524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</row>
    <row r="41" spans="1:58" s="70" customFormat="1" ht="12">
      <c r="A41" s="559">
        <f t="shared" si="0"/>
        <v>41</v>
      </c>
      <c r="B41" s="93"/>
      <c r="C41" s="88" t="s">
        <v>11</v>
      </c>
      <c r="D41" s="153"/>
      <c r="E41" s="503" t="e">
        <f>+#REF!</f>
        <v>#REF!</v>
      </c>
      <c r="F41" s="289"/>
      <c r="G41" s="290"/>
      <c r="H41" s="291" t="e">
        <f>+#REF!</f>
        <v>#REF!</v>
      </c>
      <c r="I41" s="292"/>
      <c r="J41" s="42"/>
      <c r="K41" s="291" t="e">
        <f>+#REF!</f>
        <v>#REF!</v>
      </c>
      <c r="L41" s="292"/>
      <c r="M41" s="42"/>
      <c r="N41" s="299">
        <v>2500</v>
      </c>
      <c r="O41" s="294"/>
      <c r="P41" s="179"/>
      <c r="Q41" s="293"/>
      <c r="R41" s="294"/>
      <c r="S41" s="225"/>
      <c r="T41" s="299">
        <f t="shared" si="3"/>
        <v>2500</v>
      </c>
      <c r="U41" s="294"/>
      <c r="V41" s="179"/>
      <c r="W41" s="559">
        <f t="shared" si="1"/>
        <v>41</v>
      </c>
      <c r="X41" s="524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</row>
    <row r="42" spans="1:58" s="70" customFormat="1" ht="12">
      <c r="A42" s="559">
        <f t="shared" si="0"/>
        <v>42</v>
      </c>
      <c r="B42" s="93"/>
      <c r="C42" s="249" t="s">
        <v>110</v>
      </c>
      <c r="D42" s="153"/>
      <c r="E42" s="503"/>
      <c r="F42" s="289"/>
      <c r="G42" s="290"/>
      <c r="H42" s="291"/>
      <c r="I42" s="292"/>
      <c r="J42" s="42"/>
      <c r="K42" s="291"/>
      <c r="L42" s="292"/>
      <c r="M42" s="42"/>
      <c r="N42" s="299">
        <v>7500</v>
      </c>
      <c r="O42" s="294"/>
      <c r="P42" s="179"/>
      <c r="Q42" s="293"/>
      <c r="R42" s="294"/>
      <c r="S42" s="225"/>
      <c r="T42" s="299">
        <f t="shared" si="3"/>
        <v>7500</v>
      </c>
      <c r="U42" s="294"/>
      <c r="V42" s="179"/>
      <c r="W42" s="559">
        <f t="shared" si="1"/>
        <v>42</v>
      </c>
      <c r="X42" s="524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</row>
    <row r="43" spans="1:58" s="70" customFormat="1" ht="12">
      <c r="A43" s="559">
        <f t="shared" si="0"/>
        <v>43</v>
      </c>
      <c r="B43" s="93"/>
      <c r="C43" s="88"/>
      <c r="D43" s="153"/>
      <c r="E43" s="295"/>
      <c r="F43" s="289"/>
      <c r="G43" s="290"/>
      <c r="H43" s="291"/>
      <c r="I43" s="292"/>
      <c r="J43" s="42"/>
      <c r="K43" s="291"/>
      <c r="L43" s="292"/>
      <c r="M43" s="42"/>
      <c r="N43" s="293"/>
      <c r="O43" s="294"/>
      <c r="P43" s="179"/>
      <c r="Q43" s="293"/>
      <c r="R43" s="294"/>
      <c r="S43" s="225"/>
      <c r="T43" s="293"/>
      <c r="U43" s="294"/>
      <c r="V43" s="179"/>
      <c r="W43" s="559">
        <f t="shared" si="1"/>
        <v>43</v>
      </c>
      <c r="X43" s="524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</row>
    <row r="44" spans="1:58" s="70" customFormat="1" ht="12">
      <c r="A44" s="559">
        <f t="shared" si="0"/>
        <v>44</v>
      </c>
      <c r="B44" s="89" t="s">
        <v>89</v>
      </c>
      <c r="C44" s="88"/>
      <c r="D44" s="153"/>
      <c r="E44" s="295"/>
      <c r="F44" s="372">
        <f>SUM(E45:E47)</f>
        <v>1500</v>
      </c>
      <c r="G44" s="297"/>
      <c r="H44" s="291"/>
      <c r="I44" s="188" t="e">
        <f>SUM(H45:H47)</f>
        <v>#REF!</v>
      </c>
      <c r="J44" s="42"/>
      <c r="K44" s="291"/>
      <c r="L44" s="188" t="e">
        <f>SUM(K45:K47)</f>
        <v>#REF!</v>
      </c>
      <c r="M44" s="42"/>
      <c r="N44" s="293"/>
      <c r="O44" s="296">
        <f>SUM(N45:N47)</f>
        <v>2500</v>
      </c>
      <c r="P44" s="179"/>
      <c r="Q44" s="293"/>
      <c r="R44" s="296">
        <f>SUM(Q45:Q47)</f>
        <v>0</v>
      </c>
      <c r="S44" s="225"/>
      <c r="T44" s="293"/>
      <c r="U44" s="296">
        <f>SUM(T45:T47)</f>
        <v>2500</v>
      </c>
      <c r="V44" s="179"/>
      <c r="W44" s="559">
        <f t="shared" si="1"/>
        <v>44</v>
      </c>
      <c r="X44" s="524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</row>
    <row r="45" spans="1:58" s="70" customFormat="1" ht="12">
      <c r="A45" s="559">
        <f t="shared" si="0"/>
        <v>45</v>
      </c>
      <c r="B45" s="93"/>
      <c r="C45" s="88" t="s">
        <v>53</v>
      </c>
      <c r="D45" s="153"/>
      <c r="E45" s="295"/>
      <c r="F45" s="289"/>
      <c r="G45" s="290"/>
      <c r="H45" s="291">
        <v>0</v>
      </c>
      <c r="I45" s="292"/>
      <c r="J45" s="42"/>
      <c r="K45" s="291">
        <v>0</v>
      </c>
      <c r="L45" s="292"/>
      <c r="M45" s="42"/>
      <c r="N45" s="293">
        <v>0</v>
      </c>
      <c r="O45" s="294"/>
      <c r="P45" s="179"/>
      <c r="Q45" s="293"/>
      <c r="R45" s="294"/>
      <c r="S45" s="225"/>
      <c r="T45" s="293">
        <f>+N45+Q45</f>
        <v>0</v>
      </c>
      <c r="U45" s="294"/>
      <c r="V45" s="179"/>
      <c r="W45" s="559">
        <f t="shared" si="1"/>
        <v>45</v>
      </c>
      <c r="X45" s="524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</row>
    <row r="46" spans="1:58" s="70" customFormat="1" ht="12">
      <c r="A46" s="559">
        <f t="shared" si="0"/>
        <v>46</v>
      </c>
      <c r="B46" s="93"/>
      <c r="C46" s="88" t="s">
        <v>54</v>
      </c>
      <c r="D46" s="153"/>
      <c r="E46" s="503">
        <v>1500</v>
      </c>
      <c r="F46" s="289"/>
      <c r="G46" s="290"/>
      <c r="H46" s="291" t="e">
        <f>+#REF!</f>
        <v>#REF!</v>
      </c>
      <c r="I46" s="292"/>
      <c r="J46" s="42"/>
      <c r="K46" s="291" t="e">
        <f>+#REF!</f>
        <v>#REF!</v>
      </c>
      <c r="L46" s="292"/>
      <c r="M46" s="42"/>
      <c r="N46" s="293">
        <v>2500</v>
      </c>
      <c r="O46" s="294"/>
      <c r="P46" s="179"/>
      <c r="Q46" s="293"/>
      <c r="R46" s="294"/>
      <c r="S46" s="225"/>
      <c r="T46" s="293">
        <f>+N46+Q46</f>
        <v>2500</v>
      </c>
      <c r="U46" s="294"/>
      <c r="V46" s="179"/>
      <c r="W46" s="559">
        <f t="shared" si="1"/>
        <v>46</v>
      </c>
      <c r="X46" s="524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</row>
    <row r="47" spans="1:58" s="70" customFormat="1" ht="12">
      <c r="A47" s="559">
        <f t="shared" si="0"/>
        <v>47</v>
      </c>
      <c r="B47" s="93"/>
      <c r="C47" s="88"/>
      <c r="D47" s="153"/>
      <c r="E47" s="295"/>
      <c r="F47" s="289"/>
      <c r="G47" s="290"/>
      <c r="H47" s="291"/>
      <c r="I47" s="292"/>
      <c r="J47" s="42"/>
      <c r="K47" s="291"/>
      <c r="L47" s="292"/>
      <c r="M47" s="42"/>
      <c r="N47" s="293"/>
      <c r="O47" s="294"/>
      <c r="P47" s="179"/>
      <c r="Q47" s="293"/>
      <c r="R47" s="294"/>
      <c r="S47" s="225"/>
      <c r="T47" s="293"/>
      <c r="U47" s="294"/>
      <c r="V47" s="179"/>
      <c r="W47" s="559">
        <f t="shared" si="1"/>
        <v>47</v>
      </c>
      <c r="X47" s="524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</row>
    <row r="48" spans="1:58" s="70" customFormat="1" ht="12">
      <c r="A48" s="559">
        <f t="shared" si="0"/>
        <v>48</v>
      </c>
      <c r="B48" s="93"/>
      <c r="C48" s="88"/>
      <c r="D48" s="153"/>
      <c r="E48" s="295"/>
      <c r="F48" s="289"/>
      <c r="G48" s="290"/>
      <c r="H48" s="291"/>
      <c r="I48" s="292"/>
      <c r="J48" s="42"/>
      <c r="K48" s="291"/>
      <c r="L48" s="292"/>
      <c r="M48" s="42"/>
      <c r="N48" s="293"/>
      <c r="O48" s="294"/>
      <c r="P48" s="179"/>
      <c r="Q48" s="293"/>
      <c r="R48" s="294"/>
      <c r="S48" s="225"/>
      <c r="T48" s="293"/>
      <c r="U48" s="294"/>
      <c r="V48" s="179"/>
      <c r="W48" s="559">
        <f t="shared" si="1"/>
        <v>48</v>
      </c>
      <c r="X48" s="524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</row>
    <row r="49" spans="1:58" s="70" customFormat="1" ht="12">
      <c r="A49" s="559">
        <f t="shared" si="0"/>
        <v>49</v>
      </c>
      <c r="B49" s="93" t="s">
        <v>55</v>
      </c>
      <c r="C49" s="88"/>
      <c r="D49" s="153"/>
      <c r="E49" s="295"/>
      <c r="F49" s="372">
        <f>SUM(E50:E60)</f>
        <v>44950</v>
      </c>
      <c r="G49" s="297"/>
      <c r="H49" s="291"/>
      <c r="I49" s="188" t="e">
        <f>SUM(H50:H60)</f>
        <v>#REF!</v>
      </c>
      <c r="J49" s="42"/>
      <c r="K49" s="291"/>
      <c r="L49" s="188" t="e">
        <f>SUM(K50:K61)</f>
        <v>#REF!</v>
      </c>
      <c r="M49" s="42"/>
      <c r="N49" s="293"/>
      <c r="O49" s="188">
        <f>SUM(N50:N61)</f>
        <v>44050</v>
      </c>
      <c r="P49" s="179"/>
      <c r="Q49" s="293"/>
      <c r="R49" s="296">
        <f>SUM(Q50:Q60)</f>
        <v>-9500</v>
      </c>
      <c r="S49" s="225"/>
      <c r="T49" s="293"/>
      <c r="U49" s="296">
        <f>SUM(T50:T60)</f>
        <v>34550</v>
      </c>
      <c r="V49" s="179"/>
      <c r="W49" s="559">
        <f t="shared" si="1"/>
        <v>49</v>
      </c>
      <c r="X49" s="524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</row>
    <row r="50" spans="1:58" s="70" customFormat="1" ht="12">
      <c r="A50" s="559">
        <f t="shared" si="0"/>
        <v>50</v>
      </c>
      <c r="B50" s="121"/>
      <c r="C50" s="88" t="s">
        <v>56</v>
      </c>
      <c r="D50" s="153"/>
      <c r="E50" s="503">
        <v>4500</v>
      </c>
      <c r="F50" s="289"/>
      <c r="G50" s="290"/>
      <c r="H50" s="291" t="e">
        <f>+#REF!</f>
        <v>#REF!</v>
      </c>
      <c r="I50" s="292"/>
      <c r="J50" s="42"/>
      <c r="K50" s="291" t="e">
        <f>+#REF!</f>
        <v>#REF!</v>
      </c>
      <c r="L50" s="292"/>
      <c r="M50" s="42"/>
      <c r="N50" s="293">
        <v>7000</v>
      </c>
      <c r="O50" s="294"/>
      <c r="P50" s="179"/>
      <c r="Q50" s="293">
        <v>-3500</v>
      </c>
      <c r="R50" s="294"/>
      <c r="S50" s="225"/>
      <c r="T50" s="293">
        <f>+N50+Q50</f>
        <v>3500</v>
      </c>
      <c r="U50" s="294"/>
      <c r="V50" s="179"/>
      <c r="W50" s="559">
        <f t="shared" si="1"/>
        <v>50</v>
      </c>
      <c r="X50" s="524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</row>
    <row r="51" spans="1:58" s="70" customFormat="1" ht="12">
      <c r="A51" s="559">
        <f t="shared" si="0"/>
        <v>51</v>
      </c>
      <c r="B51" s="121"/>
      <c r="C51" s="88" t="s">
        <v>57</v>
      </c>
      <c r="D51" s="153"/>
      <c r="E51" s="503">
        <v>3000</v>
      </c>
      <c r="F51" s="289"/>
      <c r="G51" s="290"/>
      <c r="H51" s="291" t="e">
        <f>+#REF!</f>
        <v>#REF!</v>
      </c>
      <c r="I51" s="292"/>
      <c r="J51" s="42"/>
      <c r="K51" s="291" t="e">
        <f>+#REF!</f>
        <v>#REF!</v>
      </c>
      <c r="L51" s="292"/>
      <c r="M51" s="42"/>
      <c r="N51" s="293">
        <v>2500</v>
      </c>
      <c r="O51" s="294"/>
      <c r="P51" s="179"/>
      <c r="Q51" s="293"/>
      <c r="R51" s="294"/>
      <c r="S51" s="225"/>
      <c r="T51" s="293">
        <f t="shared" ref="T51:T60" si="4">+N51+Q51</f>
        <v>2500</v>
      </c>
      <c r="U51" s="294"/>
      <c r="V51" s="179"/>
      <c r="W51" s="559">
        <f t="shared" si="1"/>
        <v>51</v>
      </c>
      <c r="X51" s="524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</row>
    <row r="52" spans="1:58" s="70" customFormat="1" ht="12">
      <c r="A52" s="559">
        <f t="shared" si="0"/>
        <v>52</v>
      </c>
      <c r="B52" s="93"/>
      <c r="C52" s="88" t="s">
        <v>58</v>
      </c>
      <c r="D52" s="153"/>
      <c r="E52" s="503">
        <v>2200</v>
      </c>
      <c r="F52" s="289"/>
      <c r="G52" s="290"/>
      <c r="H52" s="291" t="e">
        <f>+#REF!</f>
        <v>#REF!</v>
      </c>
      <c r="I52" s="292"/>
      <c r="J52" s="42"/>
      <c r="K52" s="291" t="e">
        <f>+#REF!</f>
        <v>#REF!</v>
      </c>
      <c r="L52" s="292"/>
      <c r="M52" s="42"/>
      <c r="N52" s="293">
        <v>3500</v>
      </c>
      <c r="O52" s="294"/>
      <c r="P52" s="179"/>
      <c r="Q52" s="293">
        <v>-2000</v>
      </c>
      <c r="R52" s="294"/>
      <c r="S52" s="225"/>
      <c r="T52" s="293">
        <f t="shared" si="4"/>
        <v>1500</v>
      </c>
      <c r="U52" s="294"/>
      <c r="V52" s="179"/>
      <c r="W52" s="559">
        <f t="shared" si="1"/>
        <v>52</v>
      </c>
      <c r="X52" s="524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</row>
    <row r="53" spans="1:58" s="70" customFormat="1" ht="12">
      <c r="A53" s="559">
        <f t="shared" si="0"/>
        <v>53</v>
      </c>
      <c r="B53" s="190"/>
      <c r="C53" s="221" t="s">
        <v>90</v>
      </c>
      <c r="D53" s="164"/>
      <c r="E53" s="503">
        <v>3500</v>
      </c>
      <c r="F53" s="289"/>
      <c r="G53" s="290"/>
      <c r="H53" s="291" t="e">
        <f>+#REF!</f>
        <v>#REF!</v>
      </c>
      <c r="I53" s="292"/>
      <c r="J53" s="42"/>
      <c r="K53" s="291" t="e">
        <f>+#REF!</f>
        <v>#REF!</v>
      </c>
      <c r="L53" s="292"/>
      <c r="M53" s="42"/>
      <c r="N53" s="293">
        <v>1700</v>
      </c>
      <c r="O53" s="294"/>
      <c r="P53" s="179"/>
      <c r="Q53" s="293"/>
      <c r="R53" s="294"/>
      <c r="S53" s="225"/>
      <c r="T53" s="293">
        <f t="shared" si="4"/>
        <v>1700</v>
      </c>
      <c r="U53" s="294"/>
      <c r="V53" s="179"/>
      <c r="W53" s="559">
        <f t="shared" si="1"/>
        <v>53</v>
      </c>
      <c r="X53" s="524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</row>
    <row r="54" spans="1:58" s="70" customFormat="1" ht="12">
      <c r="A54" s="559">
        <f t="shared" si="0"/>
        <v>54</v>
      </c>
      <c r="B54" s="93"/>
      <c r="C54" s="88" t="s">
        <v>104</v>
      </c>
      <c r="D54" s="153"/>
      <c r="E54" s="503">
        <v>16500</v>
      </c>
      <c r="F54" s="289"/>
      <c r="G54" s="290"/>
      <c r="H54" s="291" t="e">
        <f>+#REF!</f>
        <v>#REF!</v>
      </c>
      <c r="I54" s="292"/>
      <c r="J54" s="42"/>
      <c r="K54" s="291" t="e">
        <f>+#REF!</f>
        <v>#REF!</v>
      </c>
      <c r="L54" s="292"/>
      <c r="M54" s="42"/>
      <c r="N54" s="293">
        <v>18000</v>
      </c>
      <c r="O54" s="294"/>
      <c r="P54" s="179"/>
      <c r="Q54" s="293"/>
      <c r="R54" s="294"/>
      <c r="S54" s="225"/>
      <c r="T54" s="293">
        <f t="shared" si="4"/>
        <v>18000</v>
      </c>
      <c r="U54" s="294"/>
      <c r="V54" s="179"/>
      <c r="W54" s="559">
        <f t="shared" si="1"/>
        <v>54</v>
      </c>
      <c r="X54" s="524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</row>
    <row r="55" spans="1:58" s="70" customFormat="1" ht="12">
      <c r="A55" s="559">
        <f t="shared" si="0"/>
        <v>55</v>
      </c>
      <c r="B55" s="93"/>
      <c r="C55" s="88" t="s">
        <v>62</v>
      </c>
      <c r="D55" s="153"/>
      <c r="E55" s="503">
        <v>2000</v>
      </c>
      <c r="F55" s="289"/>
      <c r="G55" s="290"/>
      <c r="H55" s="291" t="e">
        <f>+#REF!</f>
        <v>#REF!</v>
      </c>
      <c r="I55" s="292"/>
      <c r="J55" s="42"/>
      <c r="K55" s="291" t="e">
        <f>+#REF!</f>
        <v>#REF!</v>
      </c>
      <c r="L55" s="292"/>
      <c r="M55" s="42"/>
      <c r="N55" s="293">
        <v>2500</v>
      </c>
      <c r="O55" s="294"/>
      <c r="P55" s="179"/>
      <c r="Q55" s="293"/>
      <c r="R55" s="294"/>
      <c r="S55" s="225"/>
      <c r="T55" s="293">
        <f t="shared" si="4"/>
        <v>2500</v>
      </c>
      <c r="U55" s="294"/>
      <c r="V55" s="179"/>
      <c r="W55" s="559">
        <f t="shared" si="1"/>
        <v>55</v>
      </c>
      <c r="X55" s="524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</row>
    <row r="56" spans="1:58" s="70" customFormat="1" ht="12">
      <c r="A56" s="559">
        <f t="shared" si="0"/>
        <v>56</v>
      </c>
      <c r="B56" s="93"/>
      <c r="C56" s="88" t="s">
        <v>63</v>
      </c>
      <c r="D56" s="153"/>
      <c r="E56" s="503">
        <v>500</v>
      </c>
      <c r="F56" s="289"/>
      <c r="G56" s="290"/>
      <c r="H56" s="291" t="e">
        <f>+#REF!</f>
        <v>#REF!</v>
      </c>
      <c r="I56" s="292"/>
      <c r="J56" s="42"/>
      <c r="K56" s="291" t="e">
        <f>+#REF!</f>
        <v>#REF!</v>
      </c>
      <c r="L56" s="292"/>
      <c r="M56" s="42"/>
      <c r="N56" s="293">
        <v>500</v>
      </c>
      <c r="O56" s="294"/>
      <c r="P56" s="179"/>
      <c r="Q56" s="293"/>
      <c r="R56" s="294"/>
      <c r="S56" s="225"/>
      <c r="T56" s="293">
        <f t="shared" si="4"/>
        <v>500</v>
      </c>
      <c r="U56" s="294"/>
      <c r="V56" s="179"/>
      <c r="W56" s="559">
        <f t="shared" si="1"/>
        <v>56</v>
      </c>
      <c r="X56" s="524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</row>
    <row r="57" spans="1:58" s="70" customFormat="1" ht="12">
      <c r="A57" s="559">
        <f t="shared" si="0"/>
        <v>57</v>
      </c>
      <c r="B57" s="93"/>
      <c r="C57" s="88" t="s">
        <v>64</v>
      </c>
      <c r="D57" s="153"/>
      <c r="E57" s="503">
        <v>500</v>
      </c>
      <c r="F57" s="289"/>
      <c r="G57" s="290"/>
      <c r="H57" s="291" t="e">
        <f>+#REF!</f>
        <v>#REF!</v>
      </c>
      <c r="I57" s="292"/>
      <c r="J57" s="42"/>
      <c r="K57" s="291" t="e">
        <f>+#REF!</f>
        <v>#REF!</v>
      </c>
      <c r="L57" s="292"/>
      <c r="M57" s="42"/>
      <c r="N57" s="293">
        <v>850</v>
      </c>
      <c r="O57" s="294"/>
      <c r="P57" s="179"/>
      <c r="Q57" s="293"/>
      <c r="R57" s="294"/>
      <c r="S57" s="225"/>
      <c r="T57" s="293">
        <f t="shared" si="4"/>
        <v>850</v>
      </c>
      <c r="U57" s="294"/>
      <c r="V57" s="179"/>
      <c r="W57" s="559">
        <f t="shared" si="1"/>
        <v>57</v>
      </c>
      <c r="X57" s="524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</row>
    <row r="58" spans="1:58" s="70" customFormat="1" ht="12">
      <c r="A58" s="559">
        <f t="shared" si="0"/>
        <v>58</v>
      </c>
      <c r="B58" s="190"/>
      <c r="C58" s="221" t="s">
        <v>65</v>
      </c>
      <c r="D58" s="164"/>
      <c r="E58" s="503">
        <v>5500</v>
      </c>
      <c r="F58" s="289"/>
      <c r="G58" s="290"/>
      <c r="H58" s="291" t="e">
        <f>+#REF!</f>
        <v>#REF!</v>
      </c>
      <c r="I58" s="292"/>
      <c r="J58" s="42"/>
      <c r="K58" s="291" t="e">
        <f>+#REF!</f>
        <v>#REF!</v>
      </c>
      <c r="L58" s="292"/>
      <c r="M58" s="42"/>
      <c r="N58" s="293">
        <v>5000</v>
      </c>
      <c r="O58" s="294"/>
      <c r="P58" s="179"/>
      <c r="Q58" s="293">
        <v>-2000</v>
      </c>
      <c r="R58" s="294"/>
      <c r="S58" s="225"/>
      <c r="T58" s="293">
        <f t="shared" si="4"/>
        <v>3000</v>
      </c>
      <c r="U58" s="294"/>
      <c r="V58" s="179"/>
      <c r="W58" s="559">
        <f t="shared" si="1"/>
        <v>58</v>
      </c>
      <c r="X58" s="524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</row>
    <row r="59" spans="1:58" s="70" customFormat="1" ht="12">
      <c r="A59" s="559">
        <f t="shared" si="0"/>
        <v>59</v>
      </c>
      <c r="B59" s="93"/>
      <c r="C59" s="88" t="s">
        <v>41</v>
      </c>
      <c r="D59" s="153"/>
      <c r="E59" s="503">
        <v>750</v>
      </c>
      <c r="F59" s="289"/>
      <c r="G59" s="290"/>
      <c r="H59" s="291" t="e">
        <f>+#REF!</f>
        <v>#REF!</v>
      </c>
      <c r="I59" s="292"/>
      <c r="J59" s="42"/>
      <c r="K59" s="291" t="e">
        <f>+#REF!</f>
        <v>#REF!</v>
      </c>
      <c r="L59" s="292"/>
      <c r="M59" s="42"/>
      <c r="N59" s="293">
        <v>500</v>
      </c>
      <c r="O59" s="294"/>
      <c r="P59" s="179"/>
      <c r="Q59" s="293"/>
      <c r="R59" s="294"/>
      <c r="S59" s="225"/>
      <c r="T59" s="293">
        <f t="shared" si="4"/>
        <v>500</v>
      </c>
      <c r="U59" s="294"/>
      <c r="V59" s="179"/>
      <c r="W59" s="559">
        <f t="shared" si="1"/>
        <v>59</v>
      </c>
      <c r="X59" s="524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</row>
    <row r="60" spans="1:58" s="70" customFormat="1" ht="12">
      <c r="A60" s="559">
        <f t="shared" si="0"/>
        <v>60</v>
      </c>
      <c r="B60" s="93"/>
      <c r="C60" s="221" t="s">
        <v>101</v>
      </c>
      <c r="D60" s="153"/>
      <c r="E60" s="503">
        <v>6000</v>
      </c>
      <c r="F60" s="289"/>
      <c r="G60" s="290"/>
      <c r="H60" s="291" t="e">
        <f>+#REF!</f>
        <v>#REF!</v>
      </c>
      <c r="I60" s="292"/>
      <c r="J60" s="42"/>
      <c r="K60" s="291" t="e">
        <f>+#REF!</f>
        <v>#REF!</v>
      </c>
      <c r="L60" s="292"/>
      <c r="M60" s="42"/>
      <c r="N60" s="293">
        <v>2000</v>
      </c>
      <c r="O60" s="294"/>
      <c r="P60" s="179"/>
      <c r="Q60" s="293">
        <v>-2000</v>
      </c>
      <c r="R60" s="294"/>
      <c r="S60" s="225"/>
      <c r="T60" s="293">
        <f t="shared" si="4"/>
        <v>0</v>
      </c>
      <c r="U60" s="294"/>
      <c r="V60" s="179"/>
      <c r="W60" s="559">
        <f t="shared" si="1"/>
        <v>60</v>
      </c>
      <c r="X60" s="524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</row>
    <row r="61" spans="1:58" s="70" customFormat="1" ht="12">
      <c r="A61" s="559">
        <f t="shared" si="0"/>
        <v>61</v>
      </c>
      <c r="B61" s="93"/>
      <c r="C61" s="221" t="s">
        <v>146</v>
      </c>
      <c r="D61" s="153"/>
      <c r="E61" s="295"/>
      <c r="F61" s="289"/>
      <c r="G61" s="290"/>
      <c r="H61" s="291" t="e">
        <f>+#REF!</f>
        <v>#REF!</v>
      </c>
      <c r="I61" s="292"/>
      <c r="J61" s="42"/>
      <c r="K61" s="291" t="e">
        <f>+#REF!</f>
        <v>#REF!</v>
      </c>
      <c r="L61" s="292"/>
      <c r="M61" s="42"/>
      <c r="N61" s="293"/>
      <c r="O61" s="294"/>
      <c r="P61" s="179"/>
      <c r="Q61" s="293"/>
      <c r="R61" s="294"/>
      <c r="S61" s="225"/>
      <c r="T61" s="293"/>
      <c r="U61" s="294"/>
      <c r="V61" s="179"/>
      <c r="W61" s="559">
        <f t="shared" si="1"/>
        <v>61</v>
      </c>
      <c r="X61" s="524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</row>
    <row r="62" spans="1:58" s="70" customFormat="1" ht="12">
      <c r="A62" s="559">
        <f t="shared" si="0"/>
        <v>62</v>
      </c>
      <c r="B62" s="190" t="s">
        <v>66</v>
      </c>
      <c r="C62" s="221"/>
      <c r="D62" s="164"/>
      <c r="E62" s="295"/>
      <c r="F62" s="372">
        <f>SUM(E63:E69)</f>
        <v>198813</v>
      </c>
      <c r="G62" s="297"/>
      <c r="H62" s="291"/>
      <c r="I62" s="188" t="e">
        <f>SUM(H63:H69)</f>
        <v>#REF!</v>
      </c>
      <c r="J62" s="42"/>
      <c r="K62" s="291"/>
      <c r="L62" s="188" t="e">
        <f>SUM(K63:K69)</f>
        <v>#REF!</v>
      </c>
      <c r="M62" s="42"/>
      <c r="N62" s="293"/>
      <c r="O62" s="296">
        <f>SUM(N63:N69)</f>
        <v>200006</v>
      </c>
      <c r="P62" s="179"/>
      <c r="Q62" s="293"/>
      <c r="R62" s="296">
        <f>SUM(Q63:Q69)</f>
        <v>-30118</v>
      </c>
      <c r="S62" s="225"/>
      <c r="T62" s="293"/>
      <c r="U62" s="296">
        <f>SUM(T63:T69)</f>
        <v>169888</v>
      </c>
      <c r="V62" s="179"/>
      <c r="W62" s="559">
        <f t="shared" si="1"/>
        <v>62</v>
      </c>
      <c r="X62" s="524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</row>
    <row r="63" spans="1:58" s="70" customFormat="1" ht="12">
      <c r="A63" s="559">
        <f t="shared" si="0"/>
        <v>63</v>
      </c>
      <c r="B63" s="93"/>
      <c r="C63" s="221" t="s">
        <v>67</v>
      </c>
      <c r="D63" s="164"/>
      <c r="E63" s="504">
        <v>66378</v>
      </c>
      <c r="F63" s="289"/>
      <c r="G63" s="290"/>
      <c r="H63" s="291" t="e">
        <f>+#REF!</f>
        <v>#REF!</v>
      </c>
      <c r="I63" s="292"/>
      <c r="J63" s="42"/>
      <c r="K63" s="291" t="e">
        <f>+#REF!</f>
        <v>#REF!</v>
      </c>
      <c r="L63" s="292"/>
      <c r="M63" s="42"/>
      <c r="N63" s="318">
        <v>67706</v>
      </c>
      <c r="O63" s="294"/>
      <c r="P63" s="179"/>
      <c r="Q63" s="318">
        <v>-47959</v>
      </c>
      <c r="R63" s="294"/>
      <c r="S63" s="225"/>
      <c r="T63" s="318">
        <v>19747</v>
      </c>
      <c r="U63" s="294"/>
      <c r="V63" s="179"/>
      <c r="W63" s="559">
        <f t="shared" si="1"/>
        <v>63</v>
      </c>
      <c r="X63" s="524" t="s">
        <v>154</v>
      </c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</row>
    <row r="64" spans="1:58" s="70" customFormat="1" ht="12">
      <c r="A64" s="559">
        <f t="shared" si="0"/>
        <v>64</v>
      </c>
      <c r="B64" s="93"/>
      <c r="C64" s="221" t="s">
        <v>105</v>
      </c>
      <c r="D64" s="164"/>
      <c r="E64" s="503">
        <v>42780</v>
      </c>
      <c r="F64" s="289"/>
      <c r="G64" s="290"/>
      <c r="H64" s="291" t="e">
        <f>+#REF!</f>
        <v>#REF!</v>
      </c>
      <c r="I64" s="292"/>
      <c r="J64" s="42"/>
      <c r="K64" s="291" t="e">
        <f>+#REF!</f>
        <v>#REF!</v>
      </c>
      <c r="L64" s="292"/>
      <c r="M64" s="42"/>
      <c r="N64" s="318">
        <v>40800</v>
      </c>
      <c r="O64" s="294"/>
      <c r="P64" s="179"/>
      <c r="Q64" s="318">
        <v>0</v>
      </c>
      <c r="R64" s="294"/>
      <c r="S64" s="225"/>
      <c r="T64" s="318">
        <f>+N64+Q64</f>
        <v>40800</v>
      </c>
      <c r="U64" s="294"/>
      <c r="V64" s="179"/>
      <c r="W64" s="559">
        <f t="shared" si="1"/>
        <v>64</v>
      </c>
      <c r="X64" s="524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</row>
    <row r="65" spans="1:58" s="70" customFormat="1" ht="12">
      <c r="A65" s="559">
        <f t="shared" si="0"/>
        <v>65</v>
      </c>
      <c r="B65" s="93"/>
      <c r="C65" s="221" t="s">
        <v>69</v>
      </c>
      <c r="D65" s="164"/>
      <c r="E65" s="503">
        <v>62255</v>
      </c>
      <c r="F65" s="289"/>
      <c r="G65" s="290"/>
      <c r="H65" s="291" t="e">
        <f>+#REF!</f>
        <v>#REF!</v>
      </c>
      <c r="I65" s="292"/>
      <c r="J65" s="300"/>
      <c r="K65" s="291" t="e">
        <f>+#REF!</f>
        <v>#REF!</v>
      </c>
      <c r="L65" s="292"/>
      <c r="M65" s="300"/>
      <c r="N65" s="318">
        <v>63500</v>
      </c>
      <c r="O65" s="294"/>
      <c r="P65" s="179"/>
      <c r="Q65" s="523">
        <v>7841</v>
      </c>
      <c r="R65" s="294"/>
      <c r="S65" s="225"/>
      <c r="T65" s="523">
        <f>+N65+Q65</f>
        <v>71341</v>
      </c>
      <c r="U65" s="294"/>
      <c r="V65" s="179"/>
      <c r="W65" s="559">
        <f t="shared" si="1"/>
        <v>65</v>
      </c>
      <c r="X65" s="524" t="s">
        <v>157</v>
      </c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</row>
    <row r="66" spans="1:58" s="201" customFormat="1" ht="12">
      <c r="A66" s="559">
        <f t="shared" si="0"/>
        <v>66</v>
      </c>
      <c r="B66" s="190"/>
      <c r="C66" s="221" t="s">
        <v>70</v>
      </c>
      <c r="D66" s="164"/>
      <c r="E66" s="503">
        <v>8500</v>
      </c>
      <c r="F66" s="289"/>
      <c r="G66" s="290"/>
      <c r="H66" s="291" t="e">
        <f>+#REF!</f>
        <v>#REF!</v>
      </c>
      <c r="I66" s="292"/>
      <c r="J66" s="300"/>
      <c r="K66" s="291" t="e">
        <f>+#REF!</f>
        <v>#REF!</v>
      </c>
      <c r="L66" s="292"/>
      <c r="M66" s="300"/>
      <c r="N66" s="318">
        <v>10000</v>
      </c>
      <c r="O66" s="294"/>
      <c r="P66" s="179"/>
      <c r="Q66" s="318">
        <v>10000</v>
      </c>
      <c r="R66" s="294"/>
      <c r="S66" s="225"/>
      <c r="T66" s="318">
        <f>+N66+Q66</f>
        <v>20000</v>
      </c>
      <c r="U66" s="294"/>
      <c r="V66" s="179"/>
      <c r="W66" s="559">
        <f t="shared" si="1"/>
        <v>66</v>
      </c>
      <c r="X66" s="524" t="s">
        <v>155</v>
      </c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</row>
    <row r="67" spans="1:58" s="70" customFormat="1" ht="12">
      <c r="A67" s="559">
        <f t="shared" ref="A67:A82" si="5">1+A66</f>
        <v>67</v>
      </c>
      <c r="B67" s="93"/>
      <c r="C67" s="88" t="s">
        <v>71</v>
      </c>
      <c r="D67" s="153"/>
      <c r="E67" s="503">
        <v>15400</v>
      </c>
      <c r="F67" s="289"/>
      <c r="G67" s="290"/>
      <c r="H67" s="291" t="e">
        <f>+#REF!</f>
        <v>#REF!</v>
      </c>
      <c r="I67" s="292"/>
      <c r="J67" s="300"/>
      <c r="K67" s="291" t="e">
        <f>+#REF!</f>
        <v>#REF!</v>
      </c>
      <c r="L67" s="292"/>
      <c r="M67" s="300"/>
      <c r="N67" s="318">
        <v>15000</v>
      </c>
      <c r="O67" s="294"/>
      <c r="P67" s="179"/>
      <c r="Q67" s="318"/>
      <c r="R67" s="294"/>
      <c r="S67" s="225"/>
      <c r="T67" s="318">
        <f>+N67+Q67</f>
        <v>15000</v>
      </c>
      <c r="U67" s="294"/>
      <c r="V67" s="179"/>
      <c r="W67" s="559">
        <f t="shared" si="1"/>
        <v>67</v>
      </c>
      <c r="X67" s="524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</row>
    <row r="68" spans="1:58" s="70" customFormat="1" ht="12">
      <c r="A68" s="559">
        <f t="shared" si="5"/>
        <v>68</v>
      </c>
      <c r="B68" s="89"/>
      <c r="C68" s="88" t="s">
        <v>72</v>
      </c>
      <c r="D68" s="153"/>
      <c r="E68" s="503">
        <v>3500</v>
      </c>
      <c r="F68" s="289"/>
      <c r="G68" s="290"/>
      <c r="H68" s="291" t="e">
        <f>+#REF!</f>
        <v>#REF!</v>
      </c>
      <c r="I68" s="292"/>
      <c r="J68" s="42"/>
      <c r="K68" s="291" t="e">
        <f>+#REF!</f>
        <v>#REF!</v>
      </c>
      <c r="L68" s="292"/>
      <c r="M68" s="42"/>
      <c r="N68" s="318">
        <v>3000</v>
      </c>
      <c r="O68" s="294"/>
      <c r="P68" s="179"/>
      <c r="Q68" s="318"/>
      <c r="R68" s="294"/>
      <c r="S68" s="225"/>
      <c r="T68" s="318">
        <f>+N68+Q68</f>
        <v>3000</v>
      </c>
      <c r="U68" s="294"/>
      <c r="V68" s="179"/>
      <c r="W68" s="559">
        <f t="shared" ref="W68:W82" si="6">+W67+1</f>
        <v>68</v>
      </c>
      <c r="X68" s="524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</row>
    <row r="69" spans="1:58" s="179" customFormat="1" ht="12">
      <c r="A69" s="559">
        <f t="shared" si="5"/>
        <v>69</v>
      </c>
      <c r="B69" s="319"/>
      <c r="C69" s="221" t="s">
        <v>147</v>
      </c>
      <c r="D69" s="164"/>
      <c r="E69" s="295"/>
      <c r="F69" s="289"/>
      <c r="G69" s="290"/>
      <c r="H69" s="304">
        <f>+'[1]EST 2019'!M74</f>
        <v>0</v>
      </c>
      <c r="I69" s="292"/>
      <c r="J69" s="300"/>
      <c r="K69" s="291" t="e">
        <f>+#REF!</f>
        <v>#REF!</v>
      </c>
      <c r="L69" s="292"/>
      <c r="M69" s="300"/>
      <c r="N69" s="293"/>
      <c r="O69" s="294"/>
      <c r="Q69" s="522">
        <v>0</v>
      </c>
      <c r="R69" s="294"/>
      <c r="S69" s="225"/>
      <c r="T69" s="522">
        <v>0</v>
      </c>
      <c r="U69" s="294"/>
      <c r="W69" s="559">
        <f t="shared" si="6"/>
        <v>69</v>
      </c>
      <c r="X69" s="524" t="s">
        <v>157</v>
      </c>
    </row>
    <row r="70" spans="1:58" s="70" customFormat="1" ht="13" thickBot="1">
      <c r="A70" s="559">
        <f t="shared" si="5"/>
        <v>70</v>
      </c>
      <c r="B70" s="203"/>
      <c r="C70" s="88"/>
      <c r="D70" s="153"/>
      <c r="E70" s="295"/>
      <c r="F70" s="301"/>
      <c r="G70" s="290"/>
      <c r="H70" s="291"/>
      <c r="I70" s="302"/>
      <c r="J70" s="42"/>
      <c r="K70" s="291"/>
      <c r="L70" s="302"/>
      <c r="M70" s="42"/>
      <c r="N70" s="293"/>
      <c r="O70" s="303"/>
      <c r="P70" s="179"/>
      <c r="Q70" s="521"/>
      <c r="R70" s="294"/>
      <c r="S70" s="225"/>
      <c r="T70" s="521"/>
      <c r="U70" s="294"/>
      <c r="V70" s="179"/>
      <c r="W70" s="559">
        <f t="shared" si="6"/>
        <v>70</v>
      </c>
      <c r="X70" s="524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</row>
    <row r="71" spans="1:58" s="70" customFormat="1" ht="13" thickBot="1">
      <c r="A71" s="559">
        <f t="shared" si="5"/>
        <v>71</v>
      </c>
      <c r="B71" s="514" t="s">
        <v>102</v>
      </c>
      <c r="C71" s="321"/>
      <c r="D71" s="164"/>
      <c r="E71" s="306"/>
      <c r="F71" s="498" t="e">
        <f>SUM(F29,F44,F49,F62,F69)</f>
        <v>#REF!</v>
      </c>
      <c r="G71" s="80"/>
      <c r="H71" s="308"/>
      <c r="I71" s="498" t="e">
        <f>SUM(I29,I44,I49,I62,I69)</f>
        <v>#REF!</v>
      </c>
      <c r="J71" s="300"/>
      <c r="K71" s="308"/>
      <c r="L71" s="498" t="e">
        <f>SUM(L29,L44,L49,L62,L69)</f>
        <v>#REF!</v>
      </c>
      <c r="M71" s="300"/>
      <c r="N71" s="306"/>
      <c r="O71" s="498">
        <f>SUM(O29:O70)</f>
        <v>449556</v>
      </c>
      <c r="P71" s="495">
        <f>SUM(N29:N70)</f>
        <v>449556</v>
      </c>
      <c r="Q71" s="322"/>
      <c r="R71" s="498">
        <f>SUM(R29:R70)</f>
        <v>-165490</v>
      </c>
      <c r="S71" s="225"/>
      <c r="T71" s="322"/>
      <c r="U71" s="498">
        <f>SUM(U29:U70)</f>
        <v>284066</v>
      </c>
      <c r="V71" s="495">
        <f>SUM(T29:T70)</f>
        <v>284066</v>
      </c>
      <c r="W71" s="559">
        <f t="shared" si="6"/>
        <v>71</v>
      </c>
      <c r="X71" s="524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</row>
    <row r="72" spans="1:58" s="70" customFormat="1" ht="12">
      <c r="A72" s="559">
        <f t="shared" si="5"/>
        <v>72</v>
      </c>
      <c r="B72" s="323"/>
      <c r="C72" s="252"/>
      <c r="D72" s="164"/>
      <c r="E72" s="324"/>
      <c r="F72" s="301"/>
      <c r="G72" s="290"/>
      <c r="H72" s="325"/>
      <c r="I72" s="253"/>
      <c r="J72" s="300"/>
      <c r="K72" s="325"/>
      <c r="L72" s="253"/>
      <c r="M72" s="300"/>
      <c r="N72" s="326"/>
      <c r="O72" s="303"/>
      <c r="P72" s="179"/>
      <c r="Q72" s="326"/>
      <c r="R72" s="303"/>
      <c r="S72" s="225"/>
      <c r="T72" s="326"/>
      <c r="U72" s="303"/>
      <c r="V72" s="179"/>
      <c r="W72" s="559">
        <f t="shared" si="6"/>
        <v>72</v>
      </c>
      <c r="X72" s="524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</row>
    <row r="73" spans="1:58" s="70" customFormat="1" ht="12">
      <c r="A73" s="559">
        <f t="shared" si="5"/>
        <v>73</v>
      </c>
      <c r="B73" s="327" t="s">
        <v>142</v>
      </c>
      <c r="C73" s="206"/>
      <c r="D73" s="207"/>
      <c r="E73" s="328"/>
      <c r="F73" s="329" t="e">
        <f>+F26-F71</f>
        <v>#REF!</v>
      </c>
      <c r="G73" s="330"/>
      <c r="H73" s="331"/>
      <c r="I73" s="434" t="e">
        <f>+I26-I71</f>
        <v>#REF!</v>
      </c>
      <c r="J73" s="245"/>
      <c r="K73" s="331"/>
      <c r="L73" s="434" t="e">
        <f>+L26-L71</f>
        <v>#REF!</v>
      </c>
      <c r="M73" s="245"/>
      <c r="N73" s="346"/>
      <c r="O73" s="329">
        <f>+O26-O71</f>
        <v>-27556</v>
      </c>
      <c r="P73" s="495">
        <f>+O5+O7+O12-O44-O49-O62-O29</f>
        <v>-27556</v>
      </c>
      <c r="Q73" s="332"/>
      <c r="R73" s="329">
        <f>+R26-R71</f>
        <v>36983</v>
      </c>
      <c r="S73" s="225"/>
      <c r="T73" s="332"/>
      <c r="U73" s="329">
        <f>+U26-U71</f>
        <v>9427</v>
      </c>
      <c r="V73" s="495">
        <f>+U5+U7+U12-U44-U49-U62-U29</f>
        <v>9427</v>
      </c>
      <c r="W73" s="559">
        <f t="shared" si="6"/>
        <v>73</v>
      </c>
      <c r="X73" s="524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</row>
    <row r="74" spans="1:58" s="70" customFormat="1" ht="12">
      <c r="A74" s="559">
        <f t="shared" si="5"/>
        <v>74</v>
      </c>
      <c r="B74" s="513"/>
      <c r="C74" s="512" t="s">
        <v>139</v>
      </c>
      <c r="D74" s="207"/>
      <c r="E74" s="328"/>
      <c r="F74" s="351"/>
      <c r="G74" s="330"/>
      <c r="H74" s="331"/>
      <c r="I74" s="501">
        <v>-5000</v>
      </c>
      <c r="J74" s="245"/>
      <c r="K74" s="331"/>
      <c r="L74" s="501" t="e">
        <f>+#REF!</f>
        <v>#REF!</v>
      </c>
      <c r="M74" s="245"/>
      <c r="N74" s="346"/>
      <c r="O74" s="499">
        <f>-16000+5000</f>
        <v>-11000</v>
      </c>
      <c r="P74" s="495"/>
      <c r="Q74" s="332"/>
      <c r="R74" s="336"/>
      <c r="S74" s="225"/>
      <c r="T74" s="332"/>
      <c r="U74" s="499">
        <f>+O74+R74</f>
        <v>-11000</v>
      </c>
      <c r="V74" s="495"/>
      <c r="W74" s="559">
        <f t="shared" si="6"/>
        <v>74</v>
      </c>
      <c r="X74" s="524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</row>
    <row r="75" spans="1:58" s="70" customFormat="1" ht="12">
      <c r="A75" s="559">
        <f t="shared" si="5"/>
        <v>75</v>
      </c>
      <c r="B75" s="513"/>
      <c r="C75" s="512" t="s">
        <v>140</v>
      </c>
      <c r="D75" s="164"/>
      <c r="E75" s="328"/>
      <c r="F75" s="334"/>
      <c r="G75" s="311"/>
      <c r="H75" s="331"/>
      <c r="I75" s="335"/>
      <c r="J75" s="300"/>
      <c r="K75" s="331"/>
      <c r="L75" s="335"/>
      <c r="M75" s="300"/>
      <c r="N75" s="332"/>
      <c r="O75" s="496">
        <f>27000-2700</f>
        <v>24300</v>
      </c>
      <c r="P75" s="179"/>
      <c r="Q75" s="332"/>
      <c r="R75" s="353">
        <v>-24300</v>
      </c>
      <c r="S75" s="225"/>
      <c r="T75" s="332"/>
      <c r="U75" s="496">
        <f>+O75+R75</f>
        <v>0</v>
      </c>
      <c r="V75" s="179"/>
      <c r="W75" s="559">
        <f t="shared" si="6"/>
        <v>75</v>
      </c>
      <c r="X75" s="524" t="s">
        <v>156</v>
      </c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</row>
    <row r="76" spans="1:58" s="70" customFormat="1" ht="12">
      <c r="A76" s="559">
        <f t="shared" si="5"/>
        <v>76</v>
      </c>
      <c r="B76" s="509" t="s">
        <v>143</v>
      </c>
      <c r="C76" s="252"/>
      <c r="D76" s="164"/>
      <c r="E76" s="328"/>
      <c r="F76" s="505" t="e">
        <f>SUM(F73:F75)</f>
        <v>#REF!</v>
      </c>
      <c r="G76" s="311"/>
      <c r="H76" s="331"/>
      <c r="I76" s="505" t="e">
        <f>SUM(I73:I75)</f>
        <v>#REF!</v>
      </c>
      <c r="J76" s="300"/>
      <c r="K76" s="331"/>
      <c r="L76" s="505" t="e">
        <f>SUM(L73:L75)</f>
        <v>#REF!</v>
      </c>
      <c r="M76" s="300"/>
      <c r="N76" s="332"/>
      <c r="O76" s="505">
        <f>SUM(O73:O75)</f>
        <v>-14256</v>
      </c>
      <c r="P76" s="179"/>
      <c r="Q76" s="332"/>
      <c r="R76" s="525"/>
      <c r="S76" s="225"/>
      <c r="T76" s="332"/>
      <c r="U76" s="505">
        <f>SUM(U73:U75)</f>
        <v>-1573</v>
      </c>
      <c r="V76" s="179"/>
      <c r="W76" s="559">
        <f t="shared" si="6"/>
        <v>76</v>
      </c>
      <c r="X76" s="524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</row>
    <row r="77" spans="1:58" s="70" customFormat="1" ht="13" thickBot="1">
      <c r="A77" s="559">
        <f t="shared" si="5"/>
        <v>77</v>
      </c>
      <c r="B77" s="333" t="s">
        <v>112</v>
      </c>
      <c r="C77" s="252"/>
      <c r="D77" s="164"/>
      <c r="E77" s="328"/>
      <c r="F77" s="337">
        <v>17000</v>
      </c>
      <c r="G77" s="338"/>
      <c r="H77" s="339"/>
      <c r="I77" s="254" t="e">
        <f>+#REF!</f>
        <v>#REF!</v>
      </c>
      <c r="J77" s="300"/>
      <c r="K77" s="339"/>
      <c r="L77" s="254" t="e">
        <f>+#REF!</f>
        <v>#REF!</v>
      </c>
      <c r="M77" s="300"/>
      <c r="N77" s="332"/>
      <c r="O77" s="340">
        <v>17000</v>
      </c>
      <c r="P77" s="179"/>
      <c r="Q77" s="332"/>
      <c r="R77" s="340">
        <v>-67000</v>
      </c>
      <c r="S77" s="225"/>
      <c r="T77" s="332"/>
      <c r="U77" s="340">
        <f>+O77+R77</f>
        <v>-50000</v>
      </c>
      <c r="V77" s="179"/>
      <c r="W77" s="559">
        <f t="shared" si="6"/>
        <v>77</v>
      </c>
      <c r="X77" s="524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</row>
    <row r="78" spans="1:58" s="70" customFormat="1" ht="13" thickBot="1">
      <c r="A78" s="559">
        <f t="shared" si="5"/>
        <v>78</v>
      </c>
      <c r="B78" s="514" t="s">
        <v>144</v>
      </c>
      <c r="C78" s="515"/>
      <c r="D78" s="207"/>
      <c r="E78" s="342"/>
      <c r="F78" s="343" t="e">
        <f>+F76+F77</f>
        <v>#REF!</v>
      </c>
      <c r="G78" s="344"/>
      <c r="H78" s="339"/>
      <c r="I78" s="516" t="e">
        <f>+I76+I77</f>
        <v>#REF!</v>
      </c>
      <c r="J78" s="245"/>
      <c r="K78" s="339"/>
      <c r="L78" s="516" t="e">
        <f>+L76+L77</f>
        <v>#REF!</v>
      </c>
      <c r="M78" s="245"/>
      <c r="N78" s="346"/>
      <c r="O78" s="516">
        <f>+O76+O77</f>
        <v>2744</v>
      </c>
      <c r="P78" s="179"/>
      <c r="Q78" s="346"/>
      <c r="R78" s="343">
        <f>SUM(R75:R77)</f>
        <v>-91300</v>
      </c>
      <c r="S78" s="225"/>
      <c r="T78" s="346"/>
      <c r="U78" s="516">
        <f>+U76+U77</f>
        <v>-51573</v>
      </c>
      <c r="V78" s="179"/>
      <c r="W78" s="559">
        <f t="shared" si="6"/>
        <v>78</v>
      </c>
      <c r="X78" s="524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</row>
    <row r="79" spans="1:58" s="70" customFormat="1" ht="13" thickTop="1">
      <c r="A79" s="559">
        <f t="shared" si="5"/>
        <v>79</v>
      </c>
      <c r="B79" s="208"/>
      <c r="C79" s="257"/>
      <c r="D79" s="207"/>
      <c r="E79" s="328"/>
      <c r="F79" s="347"/>
      <c r="G79" s="348"/>
      <c r="H79" s="352"/>
      <c r="I79" s="517"/>
      <c r="J79" s="245"/>
      <c r="K79" s="352"/>
      <c r="L79" s="517"/>
      <c r="M79" s="245"/>
      <c r="N79" s="255"/>
      <c r="O79" s="349"/>
      <c r="P79" s="179"/>
      <c r="Q79" s="255"/>
      <c r="R79" s="349"/>
      <c r="S79" s="225"/>
      <c r="T79" s="255"/>
      <c r="U79" s="349"/>
      <c r="V79" s="179"/>
      <c r="W79" s="559">
        <f t="shared" si="6"/>
        <v>79</v>
      </c>
      <c r="X79" s="524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</row>
    <row r="80" spans="1:58" s="70" customFormat="1" ht="13" thickBot="1">
      <c r="A80" s="559">
        <f t="shared" si="5"/>
        <v>80</v>
      </c>
      <c r="B80" s="519" t="s">
        <v>80</v>
      </c>
      <c r="C80" s="520"/>
      <c r="D80" s="164"/>
      <c r="E80" s="342"/>
      <c r="F80" s="351"/>
      <c r="G80" s="330"/>
      <c r="H80" s="352"/>
      <c r="I80" s="518"/>
      <c r="J80" s="245"/>
      <c r="K80" s="352"/>
      <c r="L80" s="518"/>
      <c r="M80" s="245"/>
      <c r="N80" s="346"/>
      <c r="O80" s="507">
        <v>16000</v>
      </c>
      <c r="P80" s="179"/>
      <c r="Q80" s="346"/>
      <c r="R80" s="507">
        <v>0</v>
      </c>
      <c r="S80" s="225"/>
      <c r="T80" s="346"/>
      <c r="U80" s="507">
        <f>+O80+R80</f>
        <v>16000</v>
      </c>
      <c r="V80" s="179"/>
      <c r="W80" s="559">
        <f t="shared" si="6"/>
        <v>80</v>
      </c>
      <c r="X80" s="524" t="s">
        <v>182</v>
      </c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</row>
    <row r="81" spans="1:58" s="70" customFormat="1" thickTop="1" thickBot="1">
      <c r="A81" s="559">
        <f t="shared" si="5"/>
        <v>81</v>
      </c>
      <c r="B81" s="510"/>
      <c r="C81" s="511"/>
      <c r="D81" s="166"/>
      <c r="E81" s="342"/>
      <c r="F81" s="355"/>
      <c r="G81" s="311"/>
      <c r="H81" s="352"/>
      <c r="I81" s="356"/>
      <c r="J81" s="42"/>
      <c r="K81" s="352"/>
      <c r="L81" s="356"/>
      <c r="M81" s="42"/>
      <c r="N81" s="354"/>
      <c r="O81" s="357"/>
      <c r="P81" s="179"/>
      <c r="Q81" s="354"/>
      <c r="R81" s="357"/>
      <c r="S81" s="225"/>
      <c r="T81" s="354"/>
      <c r="U81" s="357"/>
      <c r="V81" s="179"/>
      <c r="W81" s="559">
        <f t="shared" si="6"/>
        <v>81</v>
      </c>
      <c r="X81" s="524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</row>
    <row r="82" spans="1:58" s="70" customFormat="1" ht="13" thickBot="1">
      <c r="A82" s="559">
        <f t="shared" si="5"/>
        <v>82</v>
      </c>
      <c r="B82" s="358" t="s">
        <v>81</v>
      </c>
      <c r="C82" s="260" t="s">
        <v>141</v>
      </c>
      <c r="D82" s="166"/>
      <c r="E82" s="359"/>
      <c r="F82" s="360"/>
      <c r="G82" s="361"/>
      <c r="H82" s="362"/>
      <c r="I82" s="363"/>
      <c r="J82" s="42"/>
      <c r="K82" s="362"/>
      <c r="L82" s="363"/>
      <c r="M82" s="42"/>
      <c r="N82" s="364"/>
      <c r="O82" s="365"/>
      <c r="P82" s="179"/>
      <c r="Q82" s="364"/>
      <c r="R82" s="557"/>
      <c r="S82" s="225"/>
      <c r="T82" s="364"/>
      <c r="U82" s="557"/>
      <c r="V82" s="179"/>
      <c r="W82" s="559">
        <f t="shared" si="6"/>
        <v>82</v>
      </c>
      <c r="X82" s="524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</row>
    <row r="83" spans="1:58" s="70" customFormat="1" ht="12">
      <c r="A83" s="35"/>
      <c r="B83" s="69"/>
      <c r="C83" s="166"/>
      <c r="D83" s="166"/>
      <c r="E83" s="64"/>
      <c r="F83" s="366"/>
      <c r="G83" s="311"/>
      <c r="H83" s="218"/>
      <c r="I83" s="218"/>
      <c r="J83" s="42"/>
      <c r="K83" s="218"/>
      <c r="L83" s="218"/>
      <c r="M83" s="42"/>
      <c r="N83" s="64"/>
      <c r="O83" s="366"/>
      <c r="P83" s="179"/>
      <c r="Q83" s="64"/>
      <c r="R83" s="366"/>
      <c r="S83" s="225"/>
      <c r="T83" s="64"/>
      <c r="U83" s="366"/>
      <c r="V83" s="179"/>
      <c r="W83" s="35"/>
      <c r="X83" s="524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</row>
    <row r="84" spans="1:58" s="70" customFormat="1" ht="12">
      <c r="A84" s="35"/>
      <c r="B84" s="69"/>
      <c r="C84" s="166"/>
      <c r="D84" s="166"/>
      <c r="E84" s="367"/>
      <c r="F84" s="162"/>
      <c r="G84" s="311"/>
      <c r="H84" s="219"/>
      <c r="I84" s="219"/>
      <c r="J84" s="42"/>
      <c r="K84" s="219"/>
      <c r="L84" s="219"/>
      <c r="M84" s="42"/>
      <c r="N84" s="367"/>
      <c r="O84" s="162"/>
      <c r="P84" s="179"/>
      <c r="Q84" s="367"/>
      <c r="R84" s="162"/>
      <c r="S84" s="225"/>
      <c r="T84" s="367"/>
      <c r="U84" s="162"/>
      <c r="V84" s="179"/>
      <c r="W84" s="35"/>
      <c r="X84" s="524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</row>
    <row r="85" spans="1:58" s="70" customFormat="1">
      <c r="A85" s="35"/>
      <c r="B85" s="69"/>
      <c r="C85" s="166"/>
      <c r="D85" s="166"/>
      <c r="E85" s="64"/>
      <c r="F85" s="366"/>
      <c r="G85" s="311"/>
      <c r="H85" s="218"/>
      <c r="I85" s="218"/>
      <c r="J85" s="42"/>
      <c r="K85" s="218"/>
      <c r="L85" s="218"/>
      <c r="M85" s="42"/>
      <c r="N85" s="64"/>
      <c r="O85" s="366"/>
      <c r="P85" s="179"/>
      <c r="Q85" s="368"/>
      <c r="R85" s="162"/>
      <c r="S85" s="469"/>
      <c r="T85" s="368"/>
      <c r="U85" s="162"/>
      <c r="V85" s="179"/>
      <c r="W85" s="35"/>
      <c r="X85" s="524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</row>
    <row r="86" spans="1:58" s="70" customFormat="1">
      <c r="A86" s="35"/>
      <c r="B86" s="69"/>
      <c r="C86" s="166"/>
      <c r="D86" s="166"/>
      <c r="E86" s="367"/>
      <c r="F86" s="162"/>
      <c r="G86" s="311"/>
      <c r="H86" s="219"/>
      <c r="I86" s="219"/>
      <c r="J86" s="42"/>
      <c r="K86" s="219"/>
      <c r="L86" s="219"/>
      <c r="M86" s="42"/>
      <c r="N86" s="367"/>
      <c r="O86" s="162"/>
      <c r="P86" s="179"/>
      <c r="Q86" s="368"/>
      <c r="R86" s="162"/>
      <c r="S86" s="469"/>
      <c r="T86" s="368"/>
      <c r="U86" s="162"/>
      <c r="V86" s="179"/>
      <c r="W86" s="35"/>
      <c r="X86" s="524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</row>
    <row r="87" spans="1:58">
      <c r="B87" s="69"/>
      <c r="C87" s="166"/>
      <c r="D87" s="166"/>
      <c r="Q87" s="368"/>
      <c r="R87" s="162"/>
    </row>
    <row r="88" spans="1:58">
      <c r="B88" s="69"/>
      <c r="C88" s="166"/>
      <c r="D88" s="166"/>
      <c r="Q88" s="368"/>
      <c r="R88" s="162"/>
    </row>
    <row r="89" spans="1:58">
      <c r="B89" s="69"/>
      <c r="C89" s="166"/>
      <c r="D89" s="166"/>
      <c r="Q89" s="368"/>
      <c r="R89" s="162"/>
    </row>
    <row r="90" spans="1:58">
      <c r="B90" s="69"/>
      <c r="C90" s="166"/>
      <c r="D90" s="166"/>
      <c r="Q90" s="368"/>
      <c r="R90" s="162"/>
    </row>
    <row r="91" spans="1:58">
      <c r="B91" s="69"/>
      <c r="C91" s="166"/>
      <c r="D91" s="166"/>
      <c r="Q91" s="368"/>
      <c r="R91" s="162"/>
    </row>
    <row r="92" spans="1:58">
      <c r="B92" s="69"/>
      <c r="C92" s="166"/>
      <c r="D92" s="166"/>
      <c r="Q92" s="368"/>
      <c r="R92" s="162"/>
    </row>
    <row r="93" spans="1:58">
      <c r="B93" s="69"/>
      <c r="C93" s="166"/>
      <c r="D93" s="166"/>
      <c r="Q93" s="368"/>
      <c r="R93" s="162"/>
    </row>
    <row r="94" spans="1:58">
      <c r="B94" s="69"/>
      <c r="C94" s="166"/>
      <c r="D94" s="166"/>
      <c r="Q94" s="368"/>
      <c r="R94" s="162"/>
    </row>
    <row r="95" spans="1:58">
      <c r="B95" s="69"/>
      <c r="C95" s="166"/>
      <c r="D95" s="166"/>
      <c r="Q95" s="368"/>
      <c r="R95" s="162"/>
    </row>
    <row r="96" spans="1:58">
      <c r="B96" s="69"/>
      <c r="C96" s="166"/>
      <c r="D96" s="166"/>
      <c r="Q96" s="368"/>
      <c r="R96" s="162"/>
    </row>
    <row r="97" spans="1:58">
      <c r="B97" s="69"/>
      <c r="C97" s="166"/>
      <c r="D97" s="166"/>
      <c r="Q97" s="368"/>
      <c r="R97" s="162"/>
    </row>
    <row r="98" spans="1:58">
      <c r="B98" s="69"/>
      <c r="C98" s="166"/>
      <c r="D98" s="166"/>
      <c r="Q98" s="368"/>
      <c r="R98" s="162"/>
    </row>
    <row r="99" spans="1:58">
      <c r="B99" s="69"/>
      <c r="C99" s="166"/>
      <c r="D99" s="166"/>
      <c r="Q99" s="368"/>
      <c r="R99" s="162"/>
    </row>
    <row r="100" spans="1:58">
      <c r="A100"/>
      <c r="B100" s="69"/>
      <c r="C100" s="166"/>
      <c r="D100" s="166"/>
      <c r="Q100" s="368"/>
      <c r="R100" s="162"/>
      <c r="S100" s="494"/>
      <c r="W100"/>
      <c r="X100" s="30"/>
    </row>
    <row r="101" spans="1:58">
      <c r="A101"/>
      <c r="B101" s="69"/>
      <c r="C101" s="166"/>
      <c r="D101" s="166"/>
      <c r="Q101" s="368"/>
      <c r="R101" s="162"/>
      <c r="S101" s="494"/>
      <c r="W101"/>
      <c r="X101" s="30"/>
    </row>
    <row r="102" spans="1:58">
      <c r="A102"/>
      <c r="B102" s="69"/>
      <c r="C102" s="166"/>
      <c r="D102" s="166"/>
      <c r="P102"/>
      <c r="Q102" s="368"/>
      <c r="R102" s="162"/>
      <c r="S102" s="494"/>
      <c r="V102"/>
      <c r="W102"/>
      <c r="X102" s="30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>
      <c r="A103"/>
      <c r="B103" s="69"/>
      <c r="C103" s="166"/>
      <c r="D103" s="166"/>
      <c r="P103"/>
      <c r="Q103" s="368"/>
      <c r="R103" s="162"/>
      <c r="S103" s="494"/>
      <c r="V103"/>
      <c r="W103"/>
      <c r="X103" s="30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>
      <c r="A104"/>
      <c r="B104" s="69"/>
      <c r="C104" s="166"/>
      <c r="D104" s="166"/>
      <c r="P104"/>
      <c r="Q104" s="368"/>
      <c r="R104" s="162"/>
      <c r="S104" s="494"/>
      <c r="V104"/>
      <c r="W104"/>
      <c r="X104" s="30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>
      <c r="A105"/>
      <c r="B105" s="69"/>
      <c r="C105" s="166"/>
      <c r="D105" s="166"/>
      <c r="P105"/>
      <c r="Q105" s="368"/>
      <c r="R105" s="162"/>
      <c r="S105" s="494"/>
      <c r="V105"/>
      <c r="W105"/>
      <c r="X105" s="30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>
      <c r="A106"/>
      <c r="B106" s="69"/>
      <c r="C106" s="166"/>
      <c r="D106" s="166"/>
      <c r="P106"/>
      <c r="Q106" s="368"/>
      <c r="R106" s="162"/>
      <c r="S106" s="494"/>
      <c r="V106"/>
      <c r="W106"/>
      <c r="X106" s="30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>
      <c r="A107"/>
      <c r="B107" s="69"/>
      <c r="C107" s="166"/>
      <c r="D107" s="166"/>
      <c r="P107"/>
      <c r="Q107" s="368"/>
      <c r="R107" s="162"/>
      <c r="S107" s="494"/>
      <c r="V107"/>
      <c r="W107"/>
      <c r="X107" s="30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>
      <c r="A108"/>
      <c r="B108" s="69"/>
      <c r="C108" s="166"/>
      <c r="D108" s="166"/>
      <c r="P108"/>
      <c r="Q108" s="368"/>
      <c r="R108" s="162"/>
      <c r="S108" s="494"/>
      <c r="V108"/>
      <c r="W108"/>
      <c r="X108" s="30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>
      <c r="A109"/>
      <c r="B109" s="69"/>
      <c r="C109" s="166"/>
      <c r="D109" s="166"/>
      <c r="P109"/>
      <c r="Q109" s="368"/>
      <c r="R109" s="162"/>
      <c r="S109" s="494"/>
      <c r="V109"/>
      <c r="W109"/>
      <c r="X109" s="30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>
      <c r="A110"/>
      <c r="B110" s="69"/>
      <c r="C110" s="166"/>
      <c r="D110" s="166"/>
      <c r="P110"/>
      <c r="Q110" s="368"/>
      <c r="R110" s="162"/>
      <c r="S110" s="494"/>
      <c r="V110"/>
      <c r="W110"/>
      <c r="X110" s="3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>
      <c r="A111"/>
      <c r="B111" s="69"/>
      <c r="C111" s="166"/>
      <c r="D111" s="166"/>
      <c r="P111"/>
      <c r="Q111" s="368"/>
      <c r="R111" s="162"/>
      <c r="S111" s="494"/>
      <c r="V111"/>
      <c r="W111"/>
      <c r="X111" s="30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>
      <c r="A112"/>
      <c r="B112" s="69"/>
      <c r="C112" s="166"/>
      <c r="D112" s="166"/>
      <c r="P112"/>
      <c r="Q112" s="368"/>
      <c r="R112" s="162"/>
      <c r="S112" s="494"/>
      <c r="V112"/>
      <c r="W112"/>
      <c r="X112" s="30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>
      <c r="A113"/>
      <c r="B113" s="69"/>
      <c r="C113" s="166"/>
      <c r="D113" s="166"/>
      <c r="P113"/>
      <c r="Q113" s="368"/>
      <c r="R113" s="162"/>
      <c r="S113" s="494"/>
      <c r="V113"/>
      <c r="W113"/>
      <c r="X113" s="30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>
      <c r="A114"/>
      <c r="B114" s="69"/>
      <c r="C114" s="166"/>
      <c r="D114" s="166"/>
      <c r="P114"/>
      <c r="Q114" s="368"/>
      <c r="R114" s="162"/>
      <c r="S114" s="494"/>
      <c r="V114"/>
      <c r="W114"/>
      <c r="X114" s="30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>
      <c r="A115"/>
      <c r="B115" s="69"/>
      <c r="C115" s="166"/>
      <c r="D115" s="166"/>
      <c r="P115"/>
      <c r="Q115" s="368"/>
      <c r="R115" s="162"/>
      <c r="S115" s="494"/>
      <c r="V115"/>
      <c r="W115"/>
      <c r="X115" s="30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>
      <c r="A116"/>
      <c r="B116" s="69"/>
      <c r="C116" s="166"/>
      <c r="D116" s="166"/>
      <c r="P116"/>
      <c r="Q116" s="368"/>
      <c r="R116" s="162"/>
      <c r="S116" s="494"/>
      <c r="V116"/>
      <c r="W116"/>
      <c r="X116" s="30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>
      <c r="A117"/>
      <c r="B117" s="69"/>
      <c r="C117" s="166"/>
      <c r="D117" s="166"/>
      <c r="P117"/>
      <c r="Q117" s="368"/>
      <c r="R117" s="162"/>
      <c r="S117" s="494"/>
      <c r="V117"/>
      <c r="W117"/>
      <c r="X117" s="30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>
      <c r="A118"/>
      <c r="B118" s="69"/>
      <c r="C118" s="166"/>
      <c r="D118" s="166"/>
      <c r="P118"/>
      <c r="Q118" s="368"/>
      <c r="R118" s="162"/>
      <c r="S118" s="494"/>
      <c r="V118"/>
      <c r="W118"/>
      <c r="X118" s="30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>
      <c r="A119"/>
      <c r="B119" s="69"/>
      <c r="C119" s="166"/>
      <c r="D119" s="166"/>
      <c r="P119"/>
      <c r="Q119" s="368"/>
      <c r="R119" s="162"/>
      <c r="S119" s="494"/>
      <c r="V119"/>
      <c r="W119"/>
      <c r="X119" s="30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>
      <c r="A120"/>
      <c r="B120" s="69"/>
      <c r="C120" s="166"/>
      <c r="D120" s="166"/>
      <c r="P120"/>
      <c r="Q120" s="368"/>
      <c r="R120" s="162"/>
      <c r="S120" s="494"/>
      <c r="V120"/>
      <c r="W120"/>
      <c r="X120" s="3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>
      <c r="A121"/>
      <c r="B121" s="69"/>
      <c r="C121" s="166"/>
      <c r="D121" s="166"/>
      <c r="P121"/>
      <c r="Q121" s="494"/>
      <c r="R121" s="494"/>
      <c r="S121" s="494"/>
      <c r="V121"/>
      <c r="W121"/>
      <c r="X121" s="30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>
      <c r="A122"/>
      <c r="B122" s="69"/>
      <c r="C122" s="166"/>
      <c r="D122" s="166"/>
      <c r="P122"/>
      <c r="Q122" s="494"/>
      <c r="R122" s="494"/>
      <c r="S122" s="494"/>
      <c r="V122"/>
      <c r="W122"/>
      <c r="X122" s="30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>
      <c r="A123"/>
      <c r="B123" s="69"/>
      <c r="C123" s="166"/>
      <c r="D123" s="166"/>
      <c r="P123"/>
      <c r="Q123" s="494"/>
      <c r="R123" s="494"/>
      <c r="S123" s="494"/>
      <c r="V123"/>
      <c r="W123"/>
      <c r="X123" s="30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>
      <c r="A124"/>
      <c r="B124" s="69"/>
      <c r="C124" s="166"/>
      <c r="D124" s="166"/>
      <c r="P124"/>
      <c r="Q124" s="494"/>
      <c r="R124" s="494"/>
      <c r="S124" s="494"/>
      <c r="V124"/>
      <c r="W124"/>
      <c r="X124" s="30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>
      <c r="A125"/>
      <c r="B125" s="69"/>
      <c r="C125" s="166"/>
      <c r="D125" s="166"/>
      <c r="P125"/>
      <c r="Q125" s="494"/>
      <c r="R125" s="494"/>
      <c r="S125" s="494"/>
      <c r="V125"/>
      <c r="W125"/>
      <c r="X125" s="30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>
      <c r="A126"/>
      <c r="B126" s="69"/>
      <c r="C126" s="166"/>
      <c r="D126" s="166"/>
      <c r="P126"/>
      <c r="Q126" s="494"/>
      <c r="R126" s="494"/>
      <c r="S126" s="494"/>
      <c r="V126"/>
      <c r="W126"/>
      <c r="X126" s="30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>
      <c r="A127"/>
      <c r="B127" s="69"/>
      <c r="C127" s="166"/>
      <c r="D127" s="166"/>
      <c r="P127"/>
      <c r="Q127" s="494"/>
      <c r="R127" s="494"/>
      <c r="S127" s="494"/>
      <c r="V127"/>
      <c r="W127"/>
      <c r="X127" s="30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>
      <c r="B128" s="69"/>
      <c r="C128" s="166"/>
      <c r="D128" s="166"/>
      <c r="P128"/>
      <c r="V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2:58">
      <c r="B129" s="69"/>
      <c r="C129" s="166"/>
      <c r="D129" s="166"/>
      <c r="P129"/>
      <c r="V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</sheetData>
  <pageMargins left="0.25" right="0.25" top="0.75" bottom="0.75" header="0.3" footer="0.3"/>
  <pageSetup paperSize="5" scale="3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9"/>
  <sheetViews>
    <sheetView topLeftCell="A37" zoomScale="80" zoomScaleNormal="80" zoomScalePageLayoutView="80" workbookViewId="0">
      <selection activeCell="X76" sqref="X76"/>
    </sheetView>
  </sheetViews>
  <sheetFormatPr baseColWidth="10" defaultColWidth="8.83203125" defaultRowHeight="14" x14ac:dyDescent="0"/>
  <cols>
    <col min="1" max="1" width="4" style="35" customWidth="1"/>
    <col min="2" max="2" width="19" style="169" customWidth="1"/>
    <col min="3" max="3" width="43.6640625" style="153" customWidth="1"/>
    <col min="4" max="4" width="13.6640625" style="153" customWidth="1"/>
    <col min="5" max="5" width="16.33203125" style="368" hidden="1" customWidth="1"/>
    <col min="6" max="6" width="16" style="162" hidden="1" customWidth="1"/>
    <col min="7" max="7" width="6.5" style="311" hidden="1" customWidth="1"/>
    <col min="8" max="8" width="14.33203125" style="220" hidden="1" customWidth="1"/>
    <col min="9" max="9" width="14" style="219" hidden="1" customWidth="1"/>
    <col min="10" max="10" width="3.5" style="42" hidden="1" customWidth="1"/>
    <col min="11" max="11" width="14.33203125" style="220" customWidth="1"/>
    <col min="12" max="12" width="14" style="219" customWidth="1"/>
    <col min="13" max="13" width="3.5" style="42" customWidth="1"/>
    <col min="14" max="14" width="15.5" style="368" customWidth="1"/>
    <col min="15" max="15" width="15.5" style="162" customWidth="1"/>
    <col min="16" max="16" width="4.33203125" style="174" customWidth="1"/>
    <col min="17" max="17" width="13.5" style="469" customWidth="1"/>
    <col min="18" max="18" width="12.83203125" style="469" customWidth="1"/>
    <col min="19" max="19" width="1.83203125" style="469" customWidth="1"/>
    <col min="20" max="20" width="12.83203125" style="368" customWidth="1"/>
    <col min="21" max="21" width="16.5" style="162" customWidth="1"/>
    <col min="22" max="22" width="9.1640625" style="174" hidden="1" customWidth="1"/>
    <col min="23" max="23" width="4" style="35" customWidth="1"/>
    <col min="24" max="24" width="96.33203125" style="524" customWidth="1"/>
    <col min="25" max="58" width="8.83203125" style="174"/>
    <col min="181" max="181" width="33" customWidth="1"/>
    <col min="182" max="182" width="47.5" customWidth="1"/>
    <col min="183" max="183" width="3" customWidth="1"/>
    <col min="184" max="185" width="17.1640625" customWidth="1"/>
    <col min="186" max="186" width="12.5" customWidth="1"/>
    <col min="187" max="187" width="14.5" customWidth="1"/>
    <col min="188" max="188" width="2.5" customWidth="1"/>
    <col min="189" max="189" width="0" hidden="1" customWidth="1"/>
    <col min="190" max="190" width="12" customWidth="1"/>
    <col min="191" max="191" width="2.83203125" customWidth="1"/>
    <col min="192" max="192" width="10.5" customWidth="1"/>
    <col min="193" max="193" width="16.5" customWidth="1"/>
    <col min="194" max="194" width="41.83203125" customWidth="1"/>
    <col min="195" max="195" width="4" customWidth="1"/>
    <col min="196" max="196" width="11.5" customWidth="1"/>
    <col min="437" max="437" width="33" customWidth="1"/>
    <col min="438" max="438" width="47.5" customWidth="1"/>
    <col min="439" max="439" width="3" customWidth="1"/>
    <col min="440" max="441" width="17.1640625" customWidth="1"/>
    <col min="442" max="442" width="12.5" customWidth="1"/>
    <col min="443" max="443" width="14.5" customWidth="1"/>
    <col min="444" max="444" width="2.5" customWidth="1"/>
    <col min="445" max="445" width="0" hidden="1" customWidth="1"/>
    <col min="446" max="446" width="12" customWidth="1"/>
    <col min="447" max="447" width="2.83203125" customWidth="1"/>
    <col min="448" max="448" width="10.5" customWidth="1"/>
    <col min="449" max="449" width="16.5" customWidth="1"/>
    <col min="450" max="450" width="41.83203125" customWidth="1"/>
    <col min="451" max="451" width="4" customWidth="1"/>
    <col min="452" max="452" width="11.5" customWidth="1"/>
    <col min="693" max="693" width="33" customWidth="1"/>
    <col min="694" max="694" width="47.5" customWidth="1"/>
    <col min="695" max="695" width="3" customWidth="1"/>
    <col min="696" max="697" width="17.1640625" customWidth="1"/>
    <col min="698" max="698" width="12.5" customWidth="1"/>
    <col min="699" max="699" width="14.5" customWidth="1"/>
    <col min="700" max="700" width="2.5" customWidth="1"/>
    <col min="701" max="701" width="0" hidden="1" customWidth="1"/>
    <col min="702" max="702" width="12" customWidth="1"/>
    <col min="703" max="703" width="2.83203125" customWidth="1"/>
    <col min="704" max="704" width="10.5" customWidth="1"/>
    <col min="705" max="705" width="16.5" customWidth="1"/>
    <col min="706" max="706" width="41.83203125" customWidth="1"/>
    <col min="707" max="707" width="4" customWidth="1"/>
    <col min="708" max="708" width="11.5" customWidth="1"/>
    <col min="949" max="949" width="33" customWidth="1"/>
    <col min="950" max="950" width="47.5" customWidth="1"/>
    <col min="951" max="951" width="3" customWidth="1"/>
    <col min="952" max="953" width="17.1640625" customWidth="1"/>
    <col min="954" max="954" width="12.5" customWidth="1"/>
    <col min="955" max="955" width="14.5" customWidth="1"/>
    <col min="956" max="956" width="2.5" customWidth="1"/>
    <col min="957" max="957" width="0" hidden="1" customWidth="1"/>
    <col min="958" max="958" width="12" customWidth="1"/>
    <col min="959" max="959" width="2.83203125" customWidth="1"/>
    <col min="960" max="960" width="10.5" customWidth="1"/>
    <col min="961" max="961" width="16.5" customWidth="1"/>
    <col min="962" max="962" width="41.83203125" customWidth="1"/>
    <col min="963" max="963" width="4" customWidth="1"/>
    <col min="964" max="964" width="11.5" customWidth="1"/>
    <col min="1205" max="1205" width="33" customWidth="1"/>
    <col min="1206" max="1206" width="47.5" customWidth="1"/>
    <col min="1207" max="1207" width="3" customWidth="1"/>
    <col min="1208" max="1209" width="17.1640625" customWidth="1"/>
    <col min="1210" max="1210" width="12.5" customWidth="1"/>
    <col min="1211" max="1211" width="14.5" customWidth="1"/>
    <col min="1212" max="1212" width="2.5" customWidth="1"/>
    <col min="1213" max="1213" width="0" hidden="1" customWidth="1"/>
    <col min="1214" max="1214" width="12" customWidth="1"/>
    <col min="1215" max="1215" width="2.83203125" customWidth="1"/>
    <col min="1216" max="1216" width="10.5" customWidth="1"/>
    <col min="1217" max="1217" width="16.5" customWidth="1"/>
    <col min="1218" max="1218" width="41.83203125" customWidth="1"/>
    <col min="1219" max="1219" width="4" customWidth="1"/>
    <col min="1220" max="1220" width="11.5" customWidth="1"/>
    <col min="1461" max="1461" width="33" customWidth="1"/>
    <col min="1462" max="1462" width="47.5" customWidth="1"/>
    <col min="1463" max="1463" width="3" customWidth="1"/>
    <col min="1464" max="1465" width="17.1640625" customWidth="1"/>
    <col min="1466" max="1466" width="12.5" customWidth="1"/>
    <col min="1467" max="1467" width="14.5" customWidth="1"/>
    <col min="1468" max="1468" width="2.5" customWidth="1"/>
    <col min="1469" max="1469" width="0" hidden="1" customWidth="1"/>
    <col min="1470" max="1470" width="12" customWidth="1"/>
    <col min="1471" max="1471" width="2.83203125" customWidth="1"/>
    <col min="1472" max="1472" width="10.5" customWidth="1"/>
    <col min="1473" max="1473" width="16.5" customWidth="1"/>
    <col min="1474" max="1474" width="41.83203125" customWidth="1"/>
    <col min="1475" max="1475" width="4" customWidth="1"/>
    <col min="1476" max="1476" width="11.5" customWidth="1"/>
    <col min="1717" max="1717" width="33" customWidth="1"/>
    <col min="1718" max="1718" width="47.5" customWidth="1"/>
    <col min="1719" max="1719" width="3" customWidth="1"/>
    <col min="1720" max="1721" width="17.1640625" customWidth="1"/>
    <col min="1722" max="1722" width="12.5" customWidth="1"/>
    <col min="1723" max="1723" width="14.5" customWidth="1"/>
    <col min="1724" max="1724" width="2.5" customWidth="1"/>
    <col min="1725" max="1725" width="0" hidden="1" customWidth="1"/>
    <col min="1726" max="1726" width="12" customWidth="1"/>
    <col min="1727" max="1727" width="2.83203125" customWidth="1"/>
    <col min="1728" max="1728" width="10.5" customWidth="1"/>
    <col min="1729" max="1729" width="16.5" customWidth="1"/>
    <col min="1730" max="1730" width="41.83203125" customWidth="1"/>
    <col min="1731" max="1731" width="4" customWidth="1"/>
    <col min="1732" max="1732" width="11.5" customWidth="1"/>
    <col min="1973" max="1973" width="33" customWidth="1"/>
    <col min="1974" max="1974" width="47.5" customWidth="1"/>
    <col min="1975" max="1975" width="3" customWidth="1"/>
    <col min="1976" max="1977" width="17.1640625" customWidth="1"/>
    <col min="1978" max="1978" width="12.5" customWidth="1"/>
    <col min="1979" max="1979" width="14.5" customWidth="1"/>
    <col min="1980" max="1980" width="2.5" customWidth="1"/>
    <col min="1981" max="1981" width="0" hidden="1" customWidth="1"/>
    <col min="1982" max="1982" width="12" customWidth="1"/>
    <col min="1983" max="1983" width="2.83203125" customWidth="1"/>
    <col min="1984" max="1984" width="10.5" customWidth="1"/>
    <col min="1985" max="1985" width="16.5" customWidth="1"/>
    <col min="1986" max="1986" width="41.83203125" customWidth="1"/>
    <col min="1987" max="1987" width="4" customWidth="1"/>
    <col min="1988" max="1988" width="11.5" customWidth="1"/>
    <col min="2229" max="2229" width="33" customWidth="1"/>
    <col min="2230" max="2230" width="47.5" customWidth="1"/>
    <col min="2231" max="2231" width="3" customWidth="1"/>
    <col min="2232" max="2233" width="17.1640625" customWidth="1"/>
    <col min="2234" max="2234" width="12.5" customWidth="1"/>
    <col min="2235" max="2235" width="14.5" customWidth="1"/>
    <col min="2236" max="2236" width="2.5" customWidth="1"/>
    <col min="2237" max="2237" width="0" hidden="1" customWidth="1"/>
    <col min="2238" max="2238" width="12" customWidth="1"/>
    <col min="2239" max="2239" width="2.83203125" customWidth="1"/>
    <col min="2240" max="2240" width="10.5" customWidth="1"/>
    <col min="2241" max="2241" width="16.5" customWidth="1"/>
    <col min="2242" max="2242" width="41.83203125" customWidth="1"/>
    <col min="2243" max="2243" width="4" customWidth="1"/>
    <col min="2244" max="2244" width="11.5" customWidth="1"/>
    <col min="2485" max="2485" width="33" customWidth="1"/>
    <col min="2486" max="2486" width="47.5" customWidth="1"/>
    <col min="2487" max="2487" width="3" customWidth="1"/>
    <col min="2488" max="2489" width="17.1640625" customWidth="1"/>
    <col min="2490" max="2490" width="12.5" customWidth="1"/>
    <col min="2491" max="2491" width="14.5" customWidth="1"/>
    <col min="2492" max="2492" width="2.5" customWidth="1"/>
    <col min="2493" max="2493" width="0" hidden="1" customWidth="1"/>
    <col min="2494" max="2494" width="12" customWidth="1"/>
    <col min="2495" max="2495" width="2.83203125" customWidth="1"/>
    <col min="2496" max="2496" width="10.5" customWidth="1"/>
    <col min="2497" max="2497" width="16.5" customWidth="1"/>
    <col min="2498" max="2498" width="41.83203125" customWidth="1"/>
    <col min="2499" max="2499" width="4" customWidth="1"/>
    <col min="2500" max="2500" width="11.5" customWidth="1"/>
    <col min="2741" max="2741" width="33" customWidth="1"/>
    <col min="2742" max="2742" width="47.5" customWidth="1"/>
    <col min="2743" max="2743" width="3" customWidth="1"/>
    <col min="2744" max="2745" width="17.1640625" customWidth="1"/>
    <col min="2746" max="2746" width="12.5" customWidth="1"/>
    <col min="2747" max="2747" width="14.5" customWidth="1"/>
    <col min="2748" max="2748" width="2.5" customWidth="1"/>
    <col min="2749" max="2749" width="0" hidden="1" customWidth="1"/>
    <col min="2750" max="2750" width="12" customWidth="1"/>
    <col min="2751" max="2751" width="2.83203125" customWidth="1"/>
    <col min="2752" max="2752" width="10.5" customWidth="1"/>
    <col min="2753" max="2753" width="16.5" customWidth="1"/>
    <col min="2754" max="2754" width="41.83203125" customWidth="1"/>
    <col min="2755" max="2755" width="4" customWidth="1"/>
    <col min="2756" max="2756" width="11.5" customWidth="1"/>
    <col min="2997" max="2997" width="33" customWidth="1"/>
    <col min="2998" max="2998" width="47.5" customWidth="1"/>
    <col min="2999" max="2999" width="3" customWidth="1"/>
    <col min="3000" max="3001" width="17.1640625" customWidth="1"/>
    <col min="3002" max="3002" width="12.5" customWidth="1"/>
    <col min="3003" max="3003" width="14.5" customWidth="1"/>
    <col min="3004" max="3004" width="2.5" customWidth="1"/>
    <col min="3005" max="3005" width="0" hidden="1" customWidth="1"/>
    <col min="3006" max="3006" width="12" customWidth="1"/>
    <col min="3007" max="3007" width="2.83203125" customWidth="1"/>
    <col min="3008" max="3008" width="10.5" customWidth="1"/>
    <col min="3009" max="3009" width="16.5" customWidth="1"/>
    <col min="3010" max="3010" width="41.83203125" customWidth="1"/>
    <col min="3011" max="3011" width="4" customWidth="1"/>
    <col min="3012" max="3012" width="11.5" customWidth="1"/>
    <col min="3253" max="3253" width="33" customWidth="1"/>
    <col min="3254" max="3254" width="47.5" customWidth="1"/>
    <col min="3255" max="3255" width="3" customWidth="1"/>
    <col min="3256" max="3257" width="17.1640625" customWidth="1"/>
    <col min="3258" max="3258" width="12.5" customWidth="1"/>
    <col min="3259" max="3259" width="14.5" customWidth="1"/>
    <col min="3260" max="3260" width="2.5" customWidth="1"/>
    <col min="3261" max="3261" width="0" hidden="1" customWidth="1"/>
    <col min="3262" max="3262" width="12" customWidth="1"/>
    <col min="3263" max="3263" width="2.83203125" customWidth="1"/>
    <col min="3264" max="3264" width="10.5" customWidth="1"/>
    <col min="3265" max="3265" width="16.5" customWidth="1"/>
    <col min="3266" max="3266" width="41.83203125" customWidth="1"/>
    <col min="3267" max="3267" width="4" customWidth="1"/>
    <col min="3268" max="3268" width="11.5" customWidth="1"/>
    <col min="3509" max="3509" width="33" customWidth="1"/>
    <col min="3510" max="3510" width="47.5" customWidth="1"/>
    <col min="3511" max="3511" width="3" customWidth="1"/>
    <col min="3512" max="3513" width="17.1640625" customWidth="1"/>
    <col min="3514" max="3514" width="12.5" customWidth="1"/>
    <col min="3515" max="3515" width="14.5" customWidth="1"/>
    <col min="3516" max="3516" width="2.5" customWidth="1"/>
    <col min="3517" max="3517" width="0" hidden="1" customWidth="1"/>
    <col min="3518" max="3518" width="12" customWidth="1"/>
    <col min="3519" max="3519" width="2.83203125" customWidth="1"/>
    <col min="3520" max="3520" width="10.5" customWidth="1"/>
    <col min="3521" max="3521" width="16.5" customWidth="1"/>
    <col min="3522" max="3522" width="41.83203125" customWidth="1"/>
    <col min="3523" max="3523" width="4" customWidth="1"/>
    <col min="3524" max="3524" width="11.5" customWidth="1"/>
    <col min="3765" max="3765" width="33" customWidth="1"/>
    <col min="3766" max="3766" width="47.5" customWidth="1"/>
    <col min="3767" max="3767" width="3" customWidth="1"/>
    <col min="3768" max="3769" width="17.1640625" customWidth="1"/>
    <col min="3770" max="3770" width="12.5" customWidth="1"/>
    <col min="3771" max="3771" width="14.5" customWidth="1"/>
    <col min="3772" max="3772" width="2.5" customWidth="1"/>
    <col min="3773" max="3773" width="0" hidden="1" customWidth="1"/>
    <col min="3774" max="3774" width="12" customWidth="1"/>
    <col min="3775" max="3775" width="2.83203125" customWidth="1"/>
    <col min="3776" max="3776" width="10.5" customWidth="1"/>
    <col min="3777" max="3777" width="16.5" customWidth="1"/>
    <col min="3778" max="3778" width="41.83203125" customWidth="1"/>
    <col min="3779" max="3779" width="4" customWidth="1"/>
    <col min="3780" max="3780" width="11.5" customWidth="1"/>
    <col min="4021" max="4021" width="33" customWidth="1"/>
    <col min="4022" max="4022" width="47.5" customWidth="1"/>
    <col min="4023" max="4023" width="3" customWidth="1"/>
    <col min="4024" max="4025" width="17.1640625" customWidth="1"/>
    <col min="4026" max="4026" width="12.5" customWidth="1"/>
    <col min="4027" max="4027" width="14.5" customWidth="1"/>
    <col min="4028" max="4028" width="2.5" customWidth="1"/>
    <col min="4029" max="4029" width="0" hidden="1" customWidth="1"/>
    <col min="4030" max="4030" width="12" customWidth="1"/>
    <col min="4031" max="4031" width="2.83203125" customWidth="1"/>
    <col min="4032" max="4032" width="10.5" customWidth="1"/>
    <col min="4033" max="4033" width="16.5" customWidth="1"/>
    <col min="4034" max="4034" width="41.83203125" customWidth="1"/>
    <col min="4035" max="4035" width="4" customWidth="1"/>
    <col min="4036" max="4036" width="11.5" customWidth="1"/>
    <col min="4277" max="4277" width="33" customWidth="1"/>
    <col min="4278" max="4278" width="47.5" customWidth="1"/>
    <col min="4279" max="4279" width="3" customWidth="1"/>
    <col min="4280" max="4281" width="17.1640625" customWidth="1"/>
    <col min="4282" max="4282" width="12.5" customWidth="1"/>
    <col min="4283" max="4283" width="14.5" customWidth="1"/>
    <col min="4284" max="4284" width="2.5" customWidth="1"/>
    <col min="4285" max="4285" width="0" hidden="1" customWidth="1"/>
    <col min="4286" max="4286" width="12" customWidth="1"/>
    <col min="4287" max="4287" width="2.83203125" customWidth="1"/>
    <col min="4288" max="4288" width="10.5" customWidth="1"/>
    <col min="4289" max="4289" width="16.5" customWidth="1"/>
    <col min="4290" max="4290" width="41.83203125" customWidth="1"/>
    <col min="4291" max="4291" width="4" customWidth="1"/>
    <col min="4292" max="4292" width="11.5" customWidth="1"/>
    <col min="4533" max="4533" width="33" customWidth="1"/>
    <col min="4534" max="4534" width="47.5" customWidth="1"/>
    <col min="4535" max="4535" width="3" customWidth="1"/>
    <col min="4536" max="4537" width="17.1640625" customWidth="1"/>
    <col min="4538" max="4538" width="12.5" customWidth="1"/>
    <col min="4539" max="4539" width="14.5" customWidth="1"/>
    <col min="4540" max="4540" width="2.5" customWidth="1"/>
    <col min="4541" max="4541" width="0" hidden="1" customWidth="1"/>
    <col min="4542" max="4542" width="12" customWidth="1"/>
    <col min="4543" max="4543" width="2.83203125" customWidth="1"/>
    <col min="4544" max="4544" width="10.5" customWidth="1"/>
    <col min="4545" max="4545" width="16.5" customWidth="1"/>
    <col min="4546" max="4546" width="41.83203125" customWidth="1"/>
    <col min="4547" max="4547" width="4" customWidth="1"/>
    <col min="4548" max="4548" width="11.5" customWidth="1"/>
    <col min="4789" max="4789" width="33" customWidth="1"/>
    <col min="4790" max="4790" width="47.5" customWidth="1"/>
    <col min="4791" max="4791" width="3" customWidth="1"/>
    <col min="4792" max="4793" width="17.1640625" customWidth="1"/>
    <col min="4794" max="4794" width="12.5" customWidth="1"/>
    <col min="4795" max="4795" width="14.5" customWidth="1"/>
    <col min="4796" max="4796" width="2.5" customWidth="1"/>
    <col min="4797" max="4797" width="0" hidden="1" customWidth="1"/>
    <col min="4798" max="4798" width="12" customWidth="1"/>
    <col min="4799" max="4799" width="2.83203125" customWidth="1"/>
    <col min="4800" max="4800" width="10.5" customWidth="1"/>
    <col min="4801" max="4801" width="16.5" customWidth="1"/>
    <col min="4802" max="4802" width="41.83203125" customWidth="1"/>
    <col min="4803" max="4803" width="4" customWidth="1"/>
    <col min="4804" max="4804" width="11.5" customWidth="1"/>
    <col min="5045" max="5045" width="33" customWidth="1"/>
    <col min="5046" max="5046" width="47.5" customWidth="1"/>
    <col min="5047" max="5047" width="3" customWidth="1"/>
    <col min="5048" max="5049" width="17.1640625" customWidth="1"/>
    <col min="5050" max="5050" width="12.5" customWidth="1"/>
    <col min="5051" max="5051" width="14.5" customWidth="1"/>
    <col min="5052" max="5052" width="2.5" customWidth="1"/>
    <col min="5053" max="5053" width="0" hidden="1" customWidth="1"/>
    <col min="5054" max="5054" width="12" customWidth="1"/>
    <col min="5055" max="5055" width="2.83203125" customWidth="1"/>
    <col min="5056" max="5056" width="10.5" customWidth="1"/>
    <col min="5057" max="5057" width="16.5" customWidth="1"/>
    <col min="5058" max="5058" width="41.83203125" customWidth="1"/>
    <col min="5059" max="5059" width="4" customWidth="1"/>
    <col min="5060" max="5060" width="11.5" customWidth="1"/>
    <col min="5301" max="5301" width="33" customWidth="1"/>
    <col min="5302" max="5302" width="47.5" customWidth="1"/>
    <col min="5303" max="5303" width="3" customWidth="1"/>
    <col min="5304" max="5305" width="17.1640625" customWidth="1"/>
    <col min="5306" max="5306" width="12.5" customWidth="1"/>
    <col min="5307" max="5307" width="14.5" customWidth="1"/>
    <col min="5308" max="5308" width="2.5" customWidth="1"/>
    <col min="5309" max="5309" width="0" hidden="1" customWidth="1"/>
    <col min="5310" max="5310" width="12" customWidth="1"/>
    <col min="5311" max="5311" width="2.83203125" customWidth="1"/>
    <col min="5312" max="5312" width="10.5" customWidth="1"/>
    <col min="5313" max="5313" width="16.5" customWidth="1"/>
    <col min="5314" max="5314" width="41.83203125" customWidth="1"/>
    <col min="5315" max="5315" width="4" customWidth="1"/>
    <col min="5316" max="5316" width="11.5" customWidth="1"/>
    <col min="5557" max="5557" width="33" customWidth="1"/>
    <col min="5558" max="5558" width="47.5" customWidth="1"/>
    <col min="5559" max="5559" width="3" customWidth="1"/>
    <col min="5560" max="5561" width="17.1640625" customWidth="1"/>
    <col min="5562" max="5562" width="12.5" customWidth="1"/>
    <col min="5563" max="5563" width="14.5" customWidth="1"/>
    <col min="5564" max="5564" width="2.5" customWidth="1"/>
    <col min="5565" max="5565" width="0" hidden="1" customWidth="1"/>
    <col min="5566" max="5566" width="12" customWidth="1"/>
    <col min="5567" max="5567" width="2.83203125" customWidth="1"/>
    <col min="5568" max="5568" width="10.5" customWidth="1"/>
    <col min="5569" max="5569" width="16.5" customWidth="1"/>
    <col min="5570" max="5570" width="41.83203125" customWidth="1"/>
    <col min="5571" max="5571" width="4" customWidth="1"/>
    <col min="5572" max="5572" width="11.5" customWidth="1"/>
    <col min="5813" max="5813" width="33" customWidth="1"/>
    <col min="5814" max="5814" width="47.5" customWidth="1"/>
    <col min="5815" max="5815" width="3" customWidth="1"/>
    <col min="5816" max="5817" width="17.1640625" customWidth="1"/>
    <col min="5818" max="5818" width="12.5" customWidth="1"/>
    <col min="5819" max="5819" width="14.5" customWidth="1"/>
    <col min="5820" max="5820" width="2.5" customWidth="1"/>
    <col min="5821" max="5821" width="0" hidden="1" customWidth="1"/>
    <col min="5822" max="5822" width="12" customWidth="1"/>
    <col min="5823" max="5823" width="2.83203125" customWidth="1"/>
    <col min="5824" max="5824" width="10.5" customWidth="1"/>
    <col min="5825" max="5825" width="16.5" customWidth="1"/>
    <col min="5826" max="5826" width="41.83203125" customWidth="1"/>
    <col min="5827" max="5827" width="4" customWidth="1"/>
    <col min="5828" max="5828" width="11.5" customWidth="1"/>
    <col min="6069" max="6069" width="33" customWidth="1"/>
    <col min="6070" max="6070" width="47.5" customWidth="1"/>
    <col min="6071" max="6071" width="3" customWidth="1"/>
    <col min="6072" max="6073" width="17.1640625" customWidth="1"/>
    <col min="6074" max="6074" width="12.5" customWidth="1"/>
    <col min="6075" max="6075" width="14.5" customWidth="1"/>
    <col min="6076" max="6076" width="2.5" customWidth="1"/>
    <col min="6077" max="6077" width="0" hidden="1" customWidth="1"/>
    <col min="6078" max="6078" width="12" customWidth="1"/>
    <col min="6079" max="6079" width="2.83203125" customWidth="1"/>
    <col min="6080" max="6080" width="10.5" customWidth="1"/>
    <col min="6081" max="6081" width="16.5" customWidth="1"/>
    <col min="6082" max="6082" width="41.83203125" customWidth="1"/>
    <col min="6083" max="6083" width="4" customWidth="1"/>
    <col min="6084" max="6084" width="11.5" customWidth="1"/>
    <col min="6325" max="6325" width="33" customWidth="1"/>
    <col min="6326" max="6326" width="47.5" customWidth="1"/>
    <col min="6327" max="6327" width="3" customWidth="1"/>
    <col min="6328" max="6329" width="17.1640625" customWidth="1"/>
    <col min="6330" max="6330" width="12.5" customWidth="1"/>
    <col min="6331" max="6331" width="14.5" customWidth="1"/>
    <col min="6332" max="6332" width="2.5" customWidth="1"/>
    <col min="6333" max="6333" width="0" hidden="1" customWidth="1"/>
    <col min="6334" max="6334" width="12" customWidth="1"/>
    <col min="6335" max="6335" width="2.83203125" customWidth="1"/>
    <col min="6336" max="6336" width="10.5" customWidth="1"/>
    <col min="6337" max="6337" width="16.5" customWidth="1"/>
    <col min="6338" max="6338" width="41.83203125" customWidth="1"/>
    <col min="6339" max="6339" width="4" customWidth="1"/>
    <col min="6340" max="6340" width="11.5" customWidth="1"/>
    <col min="6581" max="6581" width="33" customWidth="1"/>
    <col min="6582" max="6582" width="47.5" customWidth="1"/>
    <col min="6583" max="6583" width="3" customWidth="1"/>
    <col min="6584" max="6585" width="17.1640625" customWidth="1"/>
    <col min="6586" max="6586" width="12.5" customWidth="1"/>
    <col min="6587" max="6587" width="14.5" customWidth="1"/>
    <col min="6588" max="6588" width="2.5" customWidth="1"/>
    <col min="6589" max="6589" width="0" hidden="1" customWidth="1"/>
    <col min="6590" max="6590" width="12" customWidth="1"/>
    <col min="6591" max="6591" width="2.83203125" customWidth="1"/>
    <col min="6592" max="6592" width="10.5" customWidth="1"/>
    <col min="6593" max="6593" width="16.5" customWidth="1"/>
    <col min="6594" max="6594" width="41.83203125" customWidth="1"/>
    <col min="6595" max="6595" width="4" customWidth="1"/>
    <col min="6596" max="6596" width="11.5" customWidth="1"/>
    <col min="6837" max="6837" width="33" customWidth="1"/>
    <col min="6838" max="6838" width="47.5" customWidth="1"/>
    <col min="6839" max="6839" width="3" customWidth="1"/>
    <col min="6840" max="6841" width="17.1640625" customWidth="1"/>
    <col min="6842" max="6842" width="12.5" customWidth="1"/>
    <col min="6843" max="6843" width="14.5" customWidth="1"/>
    <col min="6844" max="6844" width="2.5" customWidth="1"/>
    <col min="6845" max="6845" width="0" hidden="1" customWidth="1"/>
    <col min="6846" max="6846" width="12" customWidth="1"/>
    <col min="6847" max="6847" width="2.83203125" customWidth="1"/>
    <col min="6848" max="6848" width="10.5" customWidth="1"/>
    <col min="6849" max="6849" width="16.5" customWidth="1"/>
    <col min="6850" max="6850" width="41.83203125" customWidth="1"/>
    <col min="6851" max="6851" width="4" customWidth="1"/>
    <col min="6852" max="6852" width="11.5" customWidth="1"/>
    <col min="7093" max="7093" width="33" customWidth="1"/>
    <col min="7094" max="7094" width="47.5" customWidth="1"/>
    <col min="7095" max="7095" width="3" customWidth="1"/>
    <col min="7096" max="7097" width="17.1640625" customWidth="1"/>
    <col min="7098" max="7098" width="12.5" customWidth="1"/>
    <col min="7099" max="7099" width="14.5" customWidth="1"/>
    <col min="7100" max="7100" width="2.5" customWidth="1"/>
    <col min="7101" max="7101" width="0" hidden="1" customWidth="1"/>
    <col min="7102" max="7102" width="12" customWidth="1"/>
    <col min="7103" max="7103" width="2.83203125" customWidth="1"/>
    <col min="7104" max="7104" width="10.5" customWidth="1"/>
    <col min="7105" max="7105" width="16.5" customWidth="1"/>
    <col min="7106" max="7106" width="41.83203125" customWidth="1"/>
    <col min="7107" max="7107" width="4" customWidth="1"/>
    <col min="7108" max="7108" width="11.5" customWidth="1"/>
    <col min="7349" max="7349" width="33" customWidth="1"/>
    <col min="7350" max="7350" width="47.5" customWidth="1"/>
    <col min="7351" max="7351" width="3" customWidth="1"/>
    <col min="7352" max="7353" width="17.1640625" customWidth="1"/>
    <col min="7354" max="7354" width="12.5" customWidth="1"/>
    <col min="7355" max="7355" width="14.5" customWidth="1"/>
    <col min="7356" max="7356" width="2.5" customWidth="1"/>
    <col min="7357" max="7357" width="0" hidden="1" customWidth="1"/>
    <col min="7358" max="7358" width="12" customWidth="1"/>
    <col min="7359" max="7359" width="2.83203125" customWidth="1"/>
    <col min="7360" max="7360" width="10.5" customWidth="1"/>
    <col min="7361" max="7361" width="16.5" customWidth="1"/>
    <col min="7362" max="7362" width="41.83203125" customWidth="1"/>
    <col min="7363" max="7363" width="4" customWidth="1"/>
    <col min="7364" max="7364" width="11.5" customWidth="1"/>
    <col min="7605" max="7605" width="33" customWidth="1"/>
    <col min="7606" max="7606" width="47.5" customWidth="1"/>
    <col min="7607" max="7607" width="3" customWidth="1"/>
    <col min="7608" max="7609" width="17.1640625" customWidth="1"/>
    <col min="7610" max="7610" width="12.5" customWidth="1"/>
    <col min="7611" max="7611" width="14.5" customWidth="1"/>
    <col min="7612" max="7612" width="2.5" customWidth="1"/>
    <col min="7613" max="7613" width="0" hidden="1" customWidth="1"/>
    <col min="7614" max="7614" width="12" customWidth="1"/>
    <col min="7615" max="7615" width="2.83203125" customWidth="1"/>
    <col min="7616" max="7616" width="10.5" customWidth="1"/>
    <col min="7617" max="7617" width="16.5" customWidth="1"/>
    <col min="7618" max="7618" width="41.83203125" customWidth="1"/>
    <col min="7619" max="7619" width="4" customWidth="1"/>
    <col min="7620" max="7620" width="11.5" customWidth="1"/>
    <col min="7861" max="7861" width="33" customWidth="1"/>
    <col min="7862" max="7862" width="47.5" customWidth="1"/>
    <col min="7863" max="7863" width="3" customWidth="1"/>
    <col min="7864" max="7865" width="17.1640625" customWidth="1"/>
    <col min="7866" max="7866" width="12.5" customWidth="1"/>
    <col min="7867" max="7867" width="14.5" customWidth="1"/>
    <col min="7868" max="7868" width="2.5" customWidth="1"/>
    <col min="7869" max="7869" width="0" hidden="1" customWidth="1"/>
    <col min="7870" max="7870" width="12" customWidth="1"/>
    <col min="7871" max="7871" width="2.83203125" customWidth="1"/>
    <col min="7872" max="7872" width="10.5" customWidth="1"/>
    <col min="7873" max="7873" width="16.5" customWidth="1"/>
    <col min="7874" max="7874" width="41.83203125" customWidth="1"/>
    <col min="7875" max="7875" width="4" customWidth="1"/>
    <col min="7876" max="7876" width="11.5" customWidth="1"/>
    <col min="8117" max="8117" width="33" customWidth="1"/>
    <col min="8118" max="8118" width="47.5" customWidth="1"/>
    <col min="8119" max="8119" width="3" customWidth="1"/>
    <col min="8120" max="8121" width="17.1640625" customWidth="1"/>
    <col min="8122" max="8122" width="12.5" customWidth="1"/>
    <col min="8123" max="8123" width="14.5" customWidth="1"/>
    <col min="8124" max="8124" width="2.5" customWidth="1"/>
    <col min="8125" max="8125" width="0" hidden="1" customWidth="1"/>
    <col min="8126" max="8126" width="12" customWidth="1"/>
    <col min="8127" max="8127" width="2.83203125" customWidth="1"/>
    <col min="8128" max="8128" width="10.5" customWidth="1"/>
    <col min="8129" max="8129" width="16.5" customWidth="1"/>
    <col min="8130" max="8130" width="41.83203125" customWidth="1"/>
    <col min="8131" max="8131" width="4" customWidth="1"/>
    <col min="8132" max="8132" width="11.5" customWidth="1"/>
    <col min="8373" max="8373" width="33" customWidth="1"/>
    <col min="8374" max="8374" width="47.5" customWidth="1"/>
    <col min="8375" max="8375" width="3" customWidth="1"/>
    <col min="8376" max="8377" width="17.1640625" customWidth="1"/>
    <col min="8378" max="8378" width="12.5" customWidth="1"/>
    <col min="8379" max="8379" width="14.5" customWidth="1"/>
    <col min="8380" max="8380" width="2.5" customWidth="1"/>
    <col min="8381" max="8381" width="0" hidden="1" customWidth="1"/>
    <col min="8382" max="8382" width="12" customWidth="1"/>
    <col min="8383" max="8383" width="2.83203125" customWidth="1"/>
    <col min="8384" max="8384" width="10.5" customWidth="1"/>
    <col min="8385" max="8385" width="16.5" customWidth="1"/>
    <col min="8386" max="8386" width="41.83203125" customWidth="1"/>
    <col min="8387" max="8387" width="4" customWidth="1"/>
    <col min="8388" max="8388" width="11.5" customWidth="1"/>
    <col min="8629" max="8629" width="33" customWidth="1"/>
    <col min="8630" max="8630" width="47.5" customWidth="1"/>
    <col min="8631" max="8631" width="3" customWidth="1"/>
    <col min="8632" max="8633" width="17.1640625" customWidth="1"/>
    <col min="8634" max="8634" width="12.5" customWidth="1"/>
    <col min="8635" max="8635" width="14.5" customWidth="1"/>
    <col min="8636" max="8636" width="2.5" customWidth="1"/>
    <col min="8637" max="8637" width="0" hidden="1" customWidth="1"/>
    <col min="8638" max="8638" width="12" customWidth="1"/>
    <col min="8639" max="8639" width="2.83203125" customWidth="1"/>
    <col min="8640" max="8640" width="10.5" customWidth="1"/>
    <col min="8641" max="8641" width="16.5" customWidth="1"/>
    <col min="8642" max="8642" width="41.83203125" customWidth="1"/>
    <col min="8643" max="8643" width="4" customWidth="1"/>
    <col min="8644" max="8644" width="11.5" customWidth="1"/>
    <col min="8885" max="8885" width="33" customWidth="1"/>
    <col min="8886" max="8886" width="47.5" customWidth="1"/>
    <col min="8887" max="8887" width="3" customWidth="1"/>
    <col min="8888" max="8889" width="17.1640625" customWidth="1"/>
    <col min="8890" max="8890" width="12.5" customWidth="1"/>
    <col min="8891" max="8891" width="14.5" customWidth="1"/>
    <col min="8892" max="8892" width="2.5" customWidth="1"/>
    <col min="8893" max="8893" width="0" hidden="1" customWidth="1"/>
    <col min="8894" max="8894" width="12" customWidth="1"/>
    <col min="8895" max="8895" width="2.83203125" customWidth="1"/>
    <col min="8896" max="8896" width="10.5" customWidth="1"/>
    <col min="8897" max="8897" width="16.5" customWidth="1"/>
    <col min="8898" max="8898" width="41.83203125" customWidth="1"/>
    <col min="8899" max="8899" width="4" customWidth="1"/>
    <col min="8900" max="8900" width="11.5" customWidth="1"/>
    <col min="9141" max="9141" width="33" customWidth="1"/>
    <col min="9142" max="9142" width="47.5" customWidth="1"/>
    <col min="9143" max="9143" width="3" customWidth="1"/>
    <col min="9144" max="9145" width="17.1640625" customWidth="1"/>
    <col min="9146" max="9146" width="12.5" customWidth="1"/>
    <col min="9147" max="9147" width="14.5" customWidth="1"/>
    <col min="9148" max="9148" width="2.5" customWidth="1"/>
    <col min="9149" max="9149" width="0" hidden="1" customWidth="1"/>
    <col min="9150" max="9150" width="12" customWidth="1"/>
    <col min="9151" max="9151" width="2.83203125" customWidth="1"/>
    <col min="9152" max="9152" width="10.5" customWidth="1"/>
    <col min="9153" max="9153" width="16.5" customWidth="1"/>
    <col min="9154" max="9154" width="41.83203125" customWidth="1"/>
    <col min="9155" max="9155" width="4" customWidth="1"/>
    <col min="9156" max="9156" width="11.5" customWidth="1"/>
    <col min="9397" max="9397" width="33" customWidth="1"/>
    <col min="9398" max="9398" width="47.5" customWidth="1"/>
    <col min="9399" max="9399" width="3" customWidth="1"/>
    <col min="9400" max="9401" width="17.1640625" customWidth="1"/>
    <col min="9402" max="9402" width="12.5" customWidth="1"/>
    <col min="9403" max="9403" width="14.5" customWidth="1"/>
    <col min="9404" max="9404" width="2.5" customWidth="1"/>
    <col min="9405" max="9405" width="0" hidden="1" customWidth="1"/>
    <col min="9406" max="9406" width="12" customWidth="1"/>
    <col min="9407" max="9407" width="2.83203125" customWidth="1"/>
    <col min="9408" max="9408" width="10.5" customWidth="1"/>
    <col min="9409" max="9409" width="16.5" customWidth="1"/>
    <col min="9410" max="9410" width="41.83203125" customWidth="1"/>
    <col min="9411" max="9411" width="4" customWidth="1"/>
    <col min="9412" max="9412" width="11.5" customWidth="1"/>
    <col min="9653" max="9653" width="33" customWidth="1"/>
    <col min="9654" max="9654" width="47.5" customWidth="1"/>
    <col min="9655" max="9655" width="3" customWidth="1"/>
    <col min="9656" max="9657" width="17.1640625" customWidth="1"/>
    <col min="9658" max="9658" width="12.5" customWidth="1"/>
    <col min="9659" max="9659" width="14.5" customWidth="1"/>
    <col min="9660" max="9660" width="2.5" customWidth="1"/>
    <col min="9661" max="9661" width="0" hidden="1" customWidth="1"/>
    <col min="9662" max="9662" width="12" customWidth="1"/>
    <col min="9663" max="9663" width="2.83203125" customWidth="1"/>
    <col min="9664" max="9664" width="10.5" customWidth="1"/>
    <col min="9665" max="9665" width="16.5" customWidth="1"/>
    <col min="9666" max="9666" width="41.83203125" customWidth="1"/>
    <col min="9667" max="9667" width="4" customWidth="1"/>
    <col min="9668" max="9668" width="11.5" customWidth="1"/>
    <col min="9909" max="9909" width="33" customWidth="1"/>
    <col min="9910" max="9910" width="47.5" customWidth="1"/>
    <col min="9911" max="9911" width="3" customWidth="1"/>
    <col min="9912" max="9913" width="17.1640625" customWidth="1"/>
    <col min="9914" max="9914" width="12.5" customWidth="1"/>
    <col min="9915" max="9915" width="14.5" customWidth="1"/>
    <col min="9916" max="9916" width="2.5" customWidth="1"/>
    <col min="9917" max="9917" width="0" hidden="1" customWidth="1"/>
    <col min="9918" max="9918" width="12" customWidth="1"/>
    <col min="9919" max="9919" width="2.83203125" customWidth="1"/>
    <col min="9920" max="9920" width="10.5" customWidth="1"/>
    <col min="9921" max="9921" width="16.5" customWidth="1"/>
    <col min="9922" max="9922" width="41.83203125" customWidth="1"/>
    <col min="9923" max="9923" width="4" customWidth="1"/>
    <col min="9924" max="9924" width="11.5" customWidth="1"/>
    <col min="10165" max="10165" width="33" customWidth="1"/>
    <col min="10166" max="10166" width="47.5" customWidth="1"/>
    <col min="10167" max="10167" width="3" customWidth="1"/>
    <col min="10168" max="10169" width="17.1640625" customWidth="1"/>
    <col min="10170" max="10170" width="12.5" customWidth="1"/>
    <col min="10171" max="10171" width="14.5" customWidth="1"/>
    <col min="10172" max="10172" width="2.5" customWidth="1"/>
    <col min="10173" max="10173" width="0" hidden="1" customWidth="1"/>
    <col min="10174" max="10174" width="12" customWidth="1"/>
    <col min="10175" max="10175" width="2.83203125" customWidth="1"/>
    <col min="10176" max="10176" width="10.5" customWidth="1"/>
    <col min="10177" max="10177" width="16.5" customWidth="1"/>
    <col min="10178" max="10178" width="41.83203125" customWidth="1"/>
    <col min="10179" max="10179" width="4" customWidth="1"/>
    <col min="10180" max="10180" width="11.5" customWidth="1"/>
    <col min="10421" max="10421" width="33" customWidth="1"/>
    <col min="10422" max="10422" width="47.5" customWidth="1"/>
    <col min="10423" max="10423" width="3" customWidth="1"/>
    <col min="10424" max="10425" width="17.1640625" customWidth="1"/>
    <col min="10426" max="10426" width="12.5" customWidth="1"/>
    <col min="10427" max="10427" width="14.5" customWidth="1"/>
    <col min="10428" max="10428" width="2.5" customWidth="1"/>
    <col min="10429" max="10429" width="0" hidden="1" customWidth="1"/>
    <col min="10430" max="10430" width="12" customWidth="1"/>
    <col min="10431" max="10431" width="2.83203125" customWidth="1"/>
    <col min="10432" max="10432" width="10.5" customWidth="1"/>
    <col min="10433" max="10433" width="16.5" customWidth="1"/>
    <col min="10434" max="10434" width="41.83203125" customWidth="1"/>
    <col min="10435" max="10435" width="4" customWidth="1"/>
    <col min="10436" max="10436" width="11.5" customWidth="1"/>
    <col min="10677" max="10677" width="33" customWidth="1"/>
    <col min="10678" max="10678" width="47.5" customWidth="1"/>
    <col min="10679" max="10679" width="3" customWidth="1"/>
    <col min="10680" max="10681" width="17.1640625" customWidth="1"/>
    <col min="10682" max="10682" width="12.5" customWidth="1"/>
    <col min="10683" max="10683" width="14.5" customWidth="1"/>
    <col min="10684" max="10684" width="2.5" customWidth="1"/>
    <col min="10685" max="10685" width="0" hidden="1" customWidth="1"/>
    <col min="10686" max="10686" width="12" customWidth="1"/>
    <col min="10687" max="10687" width="2.83203125" customWidth="1"/>
    <col min="10688" max="10688" width="10.5" customWidth="1"/>
    <col min="10689" max="10689" width="16.5" customWidth="1"/>
    <col min="10690" max="10690" width="41.83203125" customWidth="1"/>
    <col min="10691" max="10691" width="4" customWidth="1"/>
    <col min="10692" max="10692" width="11.5" customWidth="1"/>
    <col min="10933" max="10933" width="33" customWidth="1"/>
    <col min="10934" max="10934" width="47.5" customWidth="1"/>
    <col min="10935" max="10935" width="3" customWidth="1"/>
    <col min="10936" max="10937" width="17.1640625" customWidth="1"/>
    <col min="10938" max="10938" width="12.5" customWidth="1"/>
    <col min="10939" max="10939" width="14.5" customWidth="1"/>
    <col min="10940" max="10940" width="2.5" customWidth="1"/>
    <col min="10941" max="10941" width="0" hidden="1" customWidth="1"/>
    <col min="10942" max="10942" width="12" customWidth="1"/>
    <col min="10943" max="10943" width="2.83203125" customWidth="1"/>
    <col min="10944" max="10944" width="10.5" customWidth="1"/>
    <col min="10945" max="10945" width="16.5" customWidth="1"/>
    <col min="10946" max="10946" width="41.83203125" customWidth="1"/>
    <col min="10947" max="10947" width="4" customWidth="1"/>
    <col min="10948" max="10948" width="11.5" customWidth="1"/>
    <col min="11189" max="11189" width="33" customWidth="1"/>
    <col min="11190" max="11190" width="47.5" customWidth="1"/>
    <col min="11191" max="11191" width="3" customWidth="1"/>
    <col min="11192" max="11193" width="17.1640625" customWidth="1"/>
    <col min="11194" max="11194" width="12.5" customWidth="1"/>
    <col min="11195" max="11195" width="14.5" customWidth="1"/>
    <col min="11196" max="11196" width="2.5" customWidth="1"/>
    <col min="11197" max="11197" width="0" hidden="1" customWidth="1"/>
    <col min="11198" max="11198" width="12" customWidth="1"/>
    <col min="11199" max="11199" width="2.83203125" customWidth="1"/>
    <col min="11200" max="11200" width="10.5" customWidth="1"/>
    <col min="11201" max="11201" width="16.5" customWidth="1"/>
    <col min="11202" max="11202" width="41.83203125" customWidth="1"/>
    <col min="11203" max="11203" width="4" customWidth="1"/>
    <col min="11204" max="11204" width="11.5" customWidth="1"/>
    <col min="11445" max="11445" width="33" customWidth="1"/>
    <col min="11446" max="11446" width="47.5" customWidth="1"/>
    <col min="11447" max="11447" width="3" customWidth="1"/>
    <col min="11448" max="11449" width="17.1640625" customWidth="1"/>
    <col min="11450" max="11450" width="12.5" customWidth="1"/>
    <col min="11451" max="11451" width="14.5" customWidth="1"/>
    <col min="11452" max="11452" width="2.5" customWidth="1"/>
    <col min="11453" max="11453" width="0" hidden="1" customWidth="1"/>
    <col min="11454" max="11454" width="12" customWidth="1"/>
    <col min="11455" max="11455" width="2.83203125" customWidth="1"/>
    <col min="11456" max="11456" width="10.5" customWidth="1"/>
    <col min="11457" max="11457" width="16.5" customWidth="1"/>
    <col min="11458" max="11458" width="41.83203125" customWidth="1"/>
    <col min="11459" max="11459" width="4" customWidth="1"/>
    <col min="11460" max="11460" width="11.5" customWidth="1"/>
    <col min="11701" max="11701" width="33" customWidth="1"/>
    <col min="11702" max="11702" width="47.5" customWidth="1"/>
    <col min="11703" max="11703" width="3" customWidth="1"/>
    <col min="11704" max="11705" width="17.1640625" customWidth="1"/>
    <col min="11706" max="11706" width="12.5" customWidth="1"/>
    <col min="11707" max="11707" width="14.5" customWidth="1"/>
    <col min="11708" max="11708" width="2.5" customWidth="1"/>
    <col min="11709" max="11709" width="0" hidden="1" customWidth="1"/>
    <col min="11710" max="11710" width="12" customWidth="1"/>
    <col min="11711" max="11711" width="2.83203125" customWidth="1"/>
    <col min="11712" max="11712" width="10.5" customWidth="1"/>
    <col min="11713" max="11713" width="16.5" customWidth="1"/>
    <col min="11714" max="11714" width="41.83203125" customWidth="1"/>
    <col min="11715" max="11715" width="4" customWidth="1"/>
    <col min="11716" max="11716" width="11.5" customWidth="1"/>
    <col min="11957" max="11957" width="33" customWidth="1"/>
    <col min="11958" max="11958" width="47.5" customWidth="1"/>
    <col min="11959" max="11959" width="3" customWidth="1"/>
    <col min="11960" max="11961" width="17.1640625" customWidth="1"/>
    <col min="11962" max="11962" width="12.5" customWidth="1"/>
    <col min="11963" max="11963" width="14.5" customWidth="1"/>
    <col min="11964" max="11964" width="2.5" customWidth="1"/>
    <col min="11965" max="11965" width="0" hidden="1" customWidth="1"/>
    <col min="11966" max="11966" width="12" customWidth="1"/>
    <col min="11967" max="11967" width="2.83203125" customWidth="1"/>
    <col min="11968" max="11968" width="10.5" customWidth="1"/>
    <col min="11969" max="11969" width="16.5" customWidth="1"/>
    <col min="11970" max="11970" width="41.83203125" customWidth="1"/>
    <col min="11971" max="11971" width="4" customWidth="1"/>
    <col min="11972" max="11972" width="11.5" customWidth="1"/>
    <col min="12213" max="12213" width="33" customWidth="1"/>
    <col min="12214" max="12214" width="47.5" customWidth="1"/>
    <col min="12215" max="12215" width="3" customWidth="1"/>
    <col min="12216" max="12217" width="17.1640625" customWidth="1"/>
    <col min="12218" max="12218" width="12.5" customWidth="1"/>
    <col min="12219" max="12219" width="14.5" customWidth="1"/>
    <col min="12220" max="12220" width="2.5" customWidth="1"/>
    <col min="12221" max="12221" width="0" hidden="1" customWidth="1"/>
    <col min="12222" max="12222" width="12" customWidth="1"/>
    <col min="12223" max="12223" width="2.83203125" customWidth="1"/>
    <col min="12224" max="12224" width="10.5" customWidth="1"/>
    <col min="12225" max="12225" width="16.5" customWidth="1"/>
    <col min="12226" max="12226" width="41.83203125" customWidth="1"/>
    <col min="12227" max="12227" width="4" customWidth="1"/>
    <col min="12228" max="12228" width="11.5" customWidth="1"/>
    <col min="12469" max="12469" width="33" customWidth="1"/>
    <col min="12470" max="12470" width="47.5" customWidth="1"/>
    <col min="12471" max="12471" width="3" customWidth="1"/>
    <col min="12472" max="12473" width="17.1640625" customWidth="1"/>
    <col min="12474" max="12474" width="12.5" customWidth="1"/>
    <col min="12475" max="12475" width="14.5" customWidth="1"/>
    <col min="12476" max="12476" width="2.5" customWidth="1"/>
    <col min="12477" max="12477" width="0" hidden="1" customWidth="1"/>
    <col min="12478" max="12478" width="12" customWidth="1"/>
    <col min="12479" max="12479" width="2.83203125" customWidth="1"/>
    <col min="12480" max="12480" width="10.5" customWidth="1"/>
    <col min="12481" max="12481" width="16.5" customWidth="1"/>
    <col min="12482" max="12482" width="41.83203125" customWidth="1"/>
    <col min="12483" max="12483" width="4" customWidth="1"/>
    <col min="12484" max="12484" width="11.5" customWidth="1"/>
    <col min="12725" max="12725" width="33" customWidth="1"/>
    <col min="12726" max="12726" width="47.5" customWidth="1"/>
    <col min="12727" max="12727" width="3" customWidth="1"/>
    <col min="12728" max="12729" width="17.1640625" customWidth="1"/>
    <col min="12730" max="12730" width="12.5" customWidth="1"/>
    <col min="12731" max="12731" width="14.5" customWidth="1"/>
    <col min="12732" max="12732" width="2.5" customWidth="1"/>
    <col min="12733" max="12733" width="0" hidden="1" customWidth="1"/>
    <col min="12734" max="12734" width="12" customWidth="1"/>
    <col min="12735" max="12735" width="2.83203125" customWidth="1"/>
    <col min="12736" max="12736" width="10.5" customWidth="1"/>
    <col min="12737" max="12737" width="16.5" customWidth="1"/>
    <col min="12738" max="12738" width="41.83203125" customWidth="1"/>
    <col min="12739" max="12739" width="4" customWidth="1"/>
    <col min="12740" max="12740" width="11.5" customWidth="1"/>
    <col min="12981" max="12981" width="33" customWidth="1"/>
    <col min="12982" max="12982" width="47.5" customWidth="1"/>
    <col min="12983" max="12983" width="3" customWidth="1"/>
    <col min="12984" max="12985" width="17.1640625" customWidth="1"/>
    <col min="12986" max="12986" width="12.5" customWidth="1"/>
    <col min="12987" max="12987" width="14.5" customWidth="1"/>
    <col min="12988" max="12988" width="2.5" customWidth="1"/>
    <col min="12989" max="12989" width="0" hidden="1" customWidth="1"/>
    <col min="12990" max="12990" width="12" customWidth="1"/>
    <col min="12991" max="12991" width="2.83203125" customWidth="1"/>
    <col min="12992" max="12992" width="10.5" customWidth="1"/>
    <col min="12993" max="12993" width="16.5" customWidth="1"/>
    <col min="12994" max="12994" width="41.83203125" customWidth="1"/>
    <col min="12995" max="12995" width="4" customWidth="1"/>
    <col min="12996" max="12996" width="11.5" customWidth="1"/>
    <col min="13237" max="13237" width="33" customWidth="1"/>
    <col min="13238" max="13238" width="47.5" customWidth="1"/>
    <col min="13239" max="13239" width="3" customWidth="1"/>
    <col min="13240" max="13241" width="17.1640625" customWidth="1"/>
    <col min="13242" max="13242" width="12.5" customWidth="1"/>
    <col min="13243" max="13243" width="14.5" customWidth="1"/>
    <col min="13244" max="13244" width="2.5" customWidth="1"/>
    <col min="13245" max="13245" width="0" hidden="1" customWidth="1"/>
    <col min="13246" max="13246" width="12" customWidth="1"/>
    <col min="13247" max="13247" width="2.83203125" customWidth="1"/>
    <col min="13248" max="13248" width="10.5" customWidth="1"/>
    <col min="13249" max="13249" width="16.5" customWidth="1"/>
    <col min="13250" max="13250" width="41.83203125" customWidth="1"/>
    <col min="13251" max="13251" width="4" customWidth="1"/>
    <col min="13252" max="13252" width="11.5" customWidth="1"/>
    <col min="13493" max="13493" width="33" customWidth="1"/>
    <col min="13494" max="13494" width="47.5" customWidth="1"/>
    <col min="13495" max="13495" width="3" customWidth="1"/>
    <col min="13496" max="13497" width="17.1640625" customWidth="1"/>
    <col min="13498" max="13498" width="12.5" customWidth="1"/>
    <col min="13499" max="13499" width="14.5" customWidth="1"/>
    <col min="13500" max="13500" width="2.5" customWidth="1"/>
    <col min="13501" max="13501" width="0" hidden="1" customWidth="1"/>
    <col min="13502" max="13502" width="12" customWidth="1"/>
    <col min="13503" max="13503" width="2.83203125" customWidth="1"/>
    <col min="13504" max="13504" width="10.5" customWidth="1"/>
    <col min="13505" max="13505" width="16.5" customWidth="1"/>
    <col min="13506" max="13506" width="41.83203125" customWidth="1"/>
    <col min="13507" max="13507" width="4" customWidth="1"/>
    <col min="13508" max="13508" width="11.5" customWidth="1"/>
    <col min="13749" max="13749" width="33" customWidth="1"/>
    <col min="13750" max="13750" width="47.5" customWidth="1"/>
    <col min="13751" max="13751" width="3" customWidth="1"/>
    <col min="13752" max="13753" width="17.1640625" customWidth="1"/>
    <col min="13754" max="13754" width="12.5" customWidth="1"/>
    <col min="13755" max="13755" width="14.5" customWidth="1"/>
    <col min="13756" max="13756" width="2.5" customWidth="1"/>
    <col min="13757" max="13757" width="0" hidden="1" customWidth="1"/>
    <col min="13758" max="13758" width="12" customWidth="1"/>
    <col min="13759" max="13759" width="2.83203125" customWidth="1"/>
    <col min="13760" max="13760" width="10.5" customWidth="1"/>
    <col min="13761" max="13761" width="16.5" customWidth="1"/>
    <col min="13762" max="13762" width="41.83203125" customWidth="1"/>
    <col min="13763" max="13763" width="4" customWidth="1"/>
    <col min="13764" max="13764" width="11.5" customWidth="1"/>
    <col min="14005" max="14005" width="33" customWidth="1"/>
    <col min="14006" max="14006" width="47.5" customWidth="1"/>
    <col min="14007" max="14007" width="3" customWidth="1"/>
    <col min="14008" max="14009" width="17.1640625" customWidth="1"/>
    <col min="14010" max="14010" width="12.5" customWidth="1"/>
    <col min="14011" max="14011" width="14.5" customWidth="1"/>
    <col min="14012" max="14012" width="2.5" customWidth="1"/>
    <col min="14013" max="14013" width="0" hidden="1" customWidth="1"/>
    <col min="14014" max="14014" width="12" customWidth="1"/>
    <col min="14015" max="14015" width="2.83203125" customWidth="1"/>
    <col min="14016" max="14016" width="10.5" customWidth="1"/>
    <col min="14017" max="14017" width="16.5" customWidth="1"/>
    <col min="14018" max="14018" width="41.83203125" customWidth="1"/>
    <col min="14019" max="14019" width="4" customWidth="1"/>
    <col min="14020" max="14020" width="11.5" customWidth="1"/>
    <col min="14261" max="14261" width="33" customWidth="1"/>
    <col min="14262" max="14262" width="47.5" customWidth="1"/>
    <col min="14263" max="14263" width="3" customWidth="1"/>
    <col min="14264" max="14265" width="17.1640625" customWidth="1"/>
    <col min="14266" max="14266" width="12.5" customWidth="1"/>
    <col min="14267" max="14267" width="14.5" customWidth="1"/>
    <col min="14268" max="14268" width="2.5" customWidth="1"/>
    <col min="14269" max="14269" width="0" hidden="1" customWidth="1"/>
    <col min="14270" max="14270" width="12" customWidth="1"/>
    <col min="14271" max="14271" width="2.83203125" customWidth="1"/>
    <col min="14272" max="14272" width="10.5" customWidth="1"/>
    <col min="14273" max="14273" width="16.5" customWidth="1"/>
    <col min="14274" max="14274" width="41.83203125" customWidth="1"/>
    <col min="14275" max="14275" width="4" customWidth="1"/>
    <col min="14276" max="14276" width="11.5" customWidth="1"/>
    <col min="14517" max="14517" width="33" customWidth="1"/>
    <col min="14518" max="14518" width="47.5" customWidth="1"/>
    <col min="14519" max="14519" width="3" customWidth="1"/>
    <col min="14520" max="14521" width="17.1640625" customWidth="1"/>
    <col min="14522" max="14522" width="12.5" customWidth="1"/>
    <col min="14523" max="14523" width="14.5" customWidth="1"/>
    <col min="14524" max="14524" width="2.5" customWidth="1"/>
    <col min="14525" max="14525" width="0" hidden="1" customWidth="1"/>
    <col min="14526" max="14526" width="12" customWidth="1"/>
    <col min="14527" max="14527" width="2.83203125" customWidth="1"/>
    <col min="14528" max="14528" width="10.5" customWidth="1"/>
    <col min="14529" max="14529" width="16.5" customWidth="1"/>
    <col min="14530" max="14530" width="41.83203125" customWidth="1"/>
    <col min="14531" max="14531" width="4" customWidth="1"/>
    <col min="14532" max="14532" width="11.5" customWidth="1"/>
    <col min="14773" max="14773" width="33" customWidth="1"/>
    <col min="14774" max="14774" width="47.5" customWidth="1"/>
    <col min="14775" max="14775" width="3" customWidth="1"/>
    <col min="14776" max="14777" width="17.1640625" customWidth="1"/>
    <col min="14778" max="14778" width="12.5" customWidth="1"/>
    <col min="14779" max="14779" width="14.5" customWidth="1"/>
    <col min="14780" max="14780" width="2.5" customWidth="1"/>
    <col min="14781" max="14781" width="0" hidden="1" customWidth="1"/>
    <col min="14782" max="14782" width="12" customWidth="1"/>
    <col min="14783" max="14783" width="2.83203125" customWidth="1"/>
    <col min="14784" max="14784" width="10.5" customWidth="1"/>
    <col min="14785" max="14785" width="16.5" customWidth="1"/>
    <col min="14786" max="14786" width="41.83203125" customWidth="1"/>
    <col min="14787" max="14787" width="4" customWidth="1"/>
    <col min="14788" max="14788" width="11.5" customWidth="1"/>
    <col min="15029" max="15029" width="33" customWidth="1"/>
    <col min="15030" max="15030" width="47.5" customWidth="1"/>
    <col min="15031" max="15031" width="3" customWidth="1"/>
    <col min="15032" max="15033" width="17.1640625" customWidth="1"/>
    <col min="15034" max="15034" width="12.5" customWidth="1"/>
    <col min="15035" max="15035" width="14.5" customWidth="1"/>
    <col min="15036" max="15036" width="2.5" customWidth="1"/>
    <col min="15037" max="15037" width="0" hidden="1" customWidth="1"/>
    <col min="15038" max="15038" width="12" customWidth="1"/>
    <col min="15039" max="15039" width="2.83203125" customWidth="1"/>
    <col min="15040" max="15040" width="10.5" customWidth="1"/>
    <col min="15041" max="15041" width="16.5" customWidth="1"/>
    <col min="15042" max="15042" width="41.83203125" customWidth="1"/>
    <col min="15043" max="15043" width="4" customWidth="1"/>
    <col min="15044" max="15044" width="11.5" customWidth="1"/>
    <col min="15285" max="15285" width="33" customWidth="1"/>
    <col min="15286" max="15286" width="47.5" customWidth="1"/>
    <col min="15287" max="15287" width="3" customWidth="1"/>
    <col min="15288" max="15289" width="17.1640625" customWidth="1"/>
    <col min="15290" max="15290" width="12.5" customWidth="1"/>
    <col min="15291" max="15291" width="14.5" customWidth="1"/>
    <col min="15292" max="15292" width="2.5" customWidth="1"/>
    <col min="15293" max="15293" width="0" hidden="1" customWidth="1"/>
    <col min="15294" max="15294" width="12" customWidth="1"/>
    <col min="15295" max="15295" width="2.83203125" customWidth="1"/>
    <col min="15296" max="15296" width="10.5" customWidth="1"/>
    <col min="15297" max="15297" width="16.5" customWidth="1"/>
    <col min="15298" max="15298" width="41.83203125" customWidth="1"/>
    <col min="15299" max="15299" width="4" customWidth="1"/>
    <col min="15300" max="15300" width="11.5" customWidth="1"/>
    <col min="15541" max="15541" width="33" customWidth="1"/>
    <col min="15542" max="15542" width="47.5" customWidth="1"/>
    <col min="15543" max="15543" width="3" customWidth="1"/>
    <col min="15544" max="15545" width="17.1640625" customWidth="1"/>
    <col min="15546" max="15546" width="12.5" customWidth="1"/>
    <col min="15547" max="15547" width="14.5" customWidth="1"/>
    <col min="15548" max="15548" width="2.5" customWidth="1"/>
    <col min="15549" max="15549" width="0" hidden="1" customWidth="1"/>
    <col min="15550" max="15550" width="12" customWidth="1"/>
    <col min="15551" max="15551" width="2.83203125" customWidth="1"/>
    <col min="15552" max="15552" width="10.5" customWidth="1"/>
    <col min="15553" max="15553" width="16.5" customWidth="1"/>
    <col min="15554" max="15554" width="41.83203125" customWidth="1"/>
    <col min="15555" max="15555" width="4" customWidth="1"/>
    <col min="15556" max="15556" width="11.5" customWidth="1"/>
    <col min="15797" max="15797" width="33" customWidth="1"/>
    <col min="15798" max="15798" width="47.5" customWidth="1"/>
    <col min="15799" max="15799" width="3" customWidth="1"/>
    <col min="15800" max="15801" width="17.1640625" customWidth="1"/>
    <col min="15802" max="15802" width="12.5" customWidth="1"/>
    <col min="15803" max="15803" width="14.5" customWidth="1"/>
    <col min="15804" max="15804" width="2.5" customWidth="1"/>
    <col min="15805" max="15805" width="0" hidden="1" customWidth="1"/>
    <col min="15806" max="15806" width="12" customWidth="1"/>
    <col min="15807" max="15807" width="2.83203125" customWidth="1"/>
    <col min="15808" max="15808" width="10.5" customWidth="1"/>
    <col min="15809" max="15809" width="16.5" customWidth="1"/>
    <col min="15810" max="15810" width="41.83203125" customWidth="1"/>
    <col min="15811" max="15811" width="4" customWidth="1"/>
    <col min="15812" max="15812" width="11.5" customWidth="1"/>
    <col min="16053" max="16053" width="33" customWidth="1"/>
    <col min="16054" max="16054" width="47.5" customWidth="1"/>
    <col min="16055" max="16055" width="3" customWidth="1"/>
    <col min="16056" max="16057" width="17.1640625" customWidth="1"/>
    <col min="16058" max="16058" width="12.5" customWidth="1"/>
    <col min="16059" max="16059" width="14.5" customWidth="1"/>
    <col min="16060" max="16060" width="2.5" customWidth="1"/>
    <col min="16061" max="16061" width="0" hidden="1" customWidth="1"/>
    <col min="16062" max="16062" width="12" customWidth="1"/>
    <col min="16063" max="16063" width="2.83203125" customWidth="1"/>
    <col min="16064" max="16064" width="10.5" customWidth="1"/>
    <col min="16065" max="16065" width="16.5" customWidth="1"/>
    <col min="16066" max="16066" width="41.83203125" customWidth="1"/>
    <col min="16067" max="16067" width="4" customWidth="1"/>
    <col min="16068" max="16068" width="11.5" customWidth="1"/>
  </cols>
  <sheetData>
    <row r="1" spans="1:58" ht="23.5" customHeight="1" thickBot="1">
      <c r="A1" s="559">
        <v>1</v>
      </c>
      <c r="E1" s="264"/>
      <c r="F1" s="265"/>
      <c r="G1" s="80"/>
      <c r="H1" s="369"/>
      <c r="I1" s="370"/>
      <c r="J1" s="300"/>
      <c r="K1" s="369"/>
      <c r="L1" s="370"/>
      <c r="M1" s="300"/>
      <c r="N1" s="264"/>
      <c r="O1" s="265"/>
      <c r="Q1" s="465" t="s">
        <v>129</v>
      </c>
      <c r="R1" s="468"/>
      <c r="T1" s="465" t="s">
        <v>130</v>
      </c>
      <c r="U1" s="466"/>
      <c r="W1" s="559">
        <v>1</v>
      </c>
    </row>
    <row r="2" spans="1:58" ht="18" thickBot="1">
      <c r="A2" s="559">
        <f>1+A1</f>
        <v>2</v>
      </c>
      <c r="B2" s="172" t="s">
        <v>106</v>
      </c>
      <c r="C2" s="37"/>
      <c r="E2" s="266" t="s">
        <v>99</v>
      </c>
      <c r="F2" s="267" t="s">
        <v>99</v>
      </c>
      <c r="G2" s="268"/>
      <c r="H2" s="374" t="s">
        <v>99</v>
      </c>
      <c r="I2" s="173" t="s">
        <v>99</v>
      </c>
      <c r="K2" s="374" t="s">
        <v>99</v>
      </c>
      <c r="L2" s="173" t="s">
        <v>99</v>
      </c>
      <c r="N2" s="266" t="s">
        <v>107</v>
      </c>
      <c r="O2" s="267" t="s">
        <v>107</v>
      </c>
      <c r="Q2" s="266" t="s">
        <v>107</v>
      </c>
      <c r="R2" s="266" t="s">
        <v>107</v>
      </c>
      <c r="T2" s="266" t="s">
        <v>107</v>
      </c>
      <c r="U2" s="266" t="s">
        <v>107</v>
      </c>
      <c r="W2" s="559">
        <f>1+W1</f>
        <v>2</v>
      </c>
    </row>
    <row r="3" spans="1:58" ht="18" thickBot="1">
      <c r="A3" s="559">
        <f t="shared" ref="A3:A66" si="0">1+A2</f>
        <v>3</v>
      </c>
      <c r="B3" s="51"/>
      <c r="C3" s="88"/>
      <c r="E3" s="234" t="s">
        <v>108</v>
      </c>
      <c r="F3" s="470" t="s">
        <v>108</v>
      </c>
      <c r="G3" s="155"/>
      <c r="H3" s="175" t="s">
        <v>1</v>
      </c>
      <c r="I3" s="500" t="s">
        <v>1</v>
      </c>
      <c r="K3" s="175" t="s">
        <v>0</v>
      </c>
      <c r="L3" s="175" t="s">
        <v>0</v>
      </c>
      <c r="N3" s="234" t="s">
        <v>83</v>
      </c>
      <c r="O3" s="470" t="s">
        <v>83</v>
      </c>
      <c r="Q3" s="473" t="s">
        <v>133</v>
      </c>
      <c r="R3" s="474" t="s">
        <v>133</v>
      </c>
      <c r="T3" s="234" t="s">
        <v>134</v>
      </c>
      <c r="U3" s="470" t="s">
        <v>134</v>
      </c>
      <c r="W3" s="559">
        <f>+W2+1</f>
        <v>3</v>
      </c>
      <c r="X3" s="524" t="s">
        <v>148</v>
      </c>
    </row>
    <row r="4" spans="1:58" s="70" customFormat="1" ht="13" thickBot="1">
      <c r="A4" s="559">
        <f t="shared" si="0"/>
        <v>4</v>
      </c>
      <c r="B4" s="270" t="s">
        <v>25</v>
      </c>
      <c r="C4" s="176"/>
      <c r="D4" s="153"/>
      <c r="E4" s="271"/>
      <c r="F4" s="272"/>
      <c r="G4" s="273"/>
      <c r="H4" s="274"/>
      <c r="I4" s="275"/>
      <c r="J4" s="42"/>
      <c r="K4" s="274"/>
      <c r="L4" s="275"/>
      <c r="M4" s="42"/>
      <c r="N4" s="175"/>
      <c r="O4" s="177"/>
      <c r="P4" s="179"/>
      <c r="Q4" s="175"/>
      <c r="R4" s="177"/>
      <c r="S4" s="225"/>
      <c r="T4" s="175"/>
      <c r="U4" s="177"/>
      <c r="V4" s="179"/>
      <c r="W4" s="559">
        <f t="shared" ref="W4:W67" si="1">+W3+1</f>
        <v>4</v>
      </c>
      <c r="X4" s="524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</row>
    <row r="5" spans="1:58" s="70" customFormat="1" ht="12">
      <c r="A5" s="559">
        <f t="shared" si="0"/>
        <v>5</v>
      </c>
      <c r="B5" s="276" t="s">
        <v>27</v>
      </c>
      <c r="C5" s="221"/>
      <c r="D5" s="164"/>
      <c r="E5" s="277"/>
      <c r="F5" s="371">
        <f>+'[2]ACT 2019'!E5</f>
        <v>100000</v>
      </c>
      <c r="G5" s="74"/>
      <c r="H5" s="279"/>
      <c r="I5" s="181">
        <f>+'[2]ACT 2019'!N5</f>
        <v>105429</v>
      </c>
      <c r="J5" s="42"/>
      <c r="K5" s="279"/>
      <c r="L5" s="181">
        <f>+'[2]ACT 2019'!Q5</f>
        <v>111822</v>
      </c>
      <c r="M5" s="42"/>
      <c r="N5" s="280"/>
      <c r="O5" s="278">
        <v>100000</v>
      </c>
      <c r="P5" s="179"/>
      <c r="Q5" s="280"/>
      <c r="R5" s="478">
        <v>-50000</v>
      </c>
      <c r="S5" s="225"/>
      <c r="T5" s="280"/>
      <c r="U5" s="278">
        <f>+O5+R5</f>
        <v>50000</v>
      </c>
      <c r="V5" s="179"/>
      <c r="W5" s="559">
        <f t="shared" si="1"/>
        <v>5</v>
      </c>
      <c r="X5" s="524" t="s">
        <v>163</v>
      </c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</row>
    <row r="6" spans="1:58" s="70" customFormat="1" ht="12">
      <c r="A6" s="559">
        <f t="shared" si="0"/>
        <v>6</v>
      </c>
      <c r="B6" s="79"/>
      <c r="C6" s="88"/>
      <c r="D6" s="153"/>
      <c r="E6" s="277"/>
      <c r="F6" s="281"/>
      <c r="G6" s="80"/>
      <c r="H6" s="279"/>
      <c r="I6" s="282"/>
      <c r="J6" s="42"/>
      <c r="K6" s="279"/>
      <c r="L6" s="282"/>
      <c r="M6" s="42"/>
      <c r="N6" s="280"/>
      <c r="O6" s="283"/>
      <c r="P6" s="179"/>
      <c r="Q6" s="280"/>
      <c r="R6" s="283"/>
      <c r="S6" s="225"/>
      <c r="T6" s="280"/>
      <c r="U6" s="283"/>
      <c r="V6" s="179"/>
      <c r="W6" s="559">
        <f t="shared" si="1"/>
        <v>6</v>
      </c>
      <c r="X6" s="524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</row>
    <row r="7" spans="1:58" s="70" customFormat="1" ht="12">
      <c r="A7" s="559">
        <f t="shared" si="0"/>
        <v>7</v>
      </c>
      <c r="B7" s="79" t="s">
        <v>3</v>
      </c>
      <c r="C7" s="88"/>
      <c r="D7" s="153"/>
      <c r="E7" s="284"/>
      <c r="F7" s="502">
        <f>SUM(E8:E10)</f>
        <v>75000</v>
      </c>
      <c r="G7" s="285"/>
      <c r="H7" s="286"/>
      <c r="I7" s="185">
        <f>SUM(H8:H10)</f>
        <v>45000</v>
      </c>
      <c r="J7" s="42"/>
      <c r="K7" s="286"/>
      <c r="L7" s="185">
        <f>SUM(K8:K10)</f>
        <v>45000</v>
      </c>
      <c r="M7" s="42"/>
      <c r="N7" s="287"/>
      <c r="O7" s="288">
        <f>SUM(N8:N10)</f>
        <v>15000</v>
      </c>
      <c r="P7" s="179"/>
      <c r="Q7" s="287"/>
      <c r="R7" s="288">
        <f>SUM(Q8:Q10)</f>
        <v>36425</v>
      </c>
      <c r="S7" s="225"/>
      <c r="T7" s="287"/>
      <c r="U7" s="288">
        <f>SUM(T8:T10)</f>
        <v>51425</v>
      </c>
      <c r="V7" s="179"/>
      <c r="W7" s="559">
        <f t="shared" si="1"/>
        <v>7</v>
      </c>
      <c r="X7" s="524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</row>
    <row r="8" spans="1:58" s="70" customFormat="1" ht="12">
      <c r="A8" s="559">
        <f t="shared" si="0"/>
        <v>8</v>
      </c>
      <c r="B8" s="86"/>
      <c r="C8" s="88" t="s">
        <v>28</v>
      </c>
      <c r="D8" s="153"/>
      <c r="E8" s="61">
        <v>45000</v>
      </c>
      <c r="F8" s="289"/>
      <c r="G8" s="290"/>
      <c r="H8" s="291">
        <f>+'[2]ACT 2019'!M8</f>
        <v>15000</v>
      </c>
      <c r="I8" s="292"/>
      <c r="J8" s="42"/>
      <c r="K8" s="291">
        <f>+'[2]ACT 2019'!P8</f>
        <v>15000</v>
      </c>
      <c r="L8" s="292"/>
      <c r="M8" s="42"/>
      <c r="N8" s="293">
        <v>15000</v>
      </c>
      <c r="O8" s="294"/>
      <c r="P8" s="179"/>
      <c r="Q8" s="293"/>
      <c r="R8" s="294"/>
      <c r="S8" s="225"/>
      <c r="T8" s="293">
        <f>+N8+Q8</f>
        <v>15000</v>
      </c>
      <c r="U8" s="294"/>
      <c r="V8" s="179"/>
      <c r="W8" s="559">
        <f t="shared" si="1"/>
        <v>8</v>
      </c>
      <c r="X8" s="524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</row>
    <row r="9" spans="1:58" s="70" customFormat="1" ht="12">
      <c r="A9" s="559">
        <f t="shared" si="0"/>
        <v>9</v>
      </c>
      <c r="B9" s="86"/>
      <c r="C9" s="221" t="s">
        <v>103</v>
      </c>
      <c r="D9" s="153"/>
      <c r="E9" s="61">
        <v>30000</v>
      </c>
      <c r="F9" s="289"/>
      <c r="G9" s="290"/>
      <c r="H9" s="291">
        <f>+'[2]ACT 2019'!M9</f>
        <v>30000</v>
      </c>
      <c r="I9" s="292"/>
      <c r="J9" s="42"/>
      <c r="K9" s="291">
        <f>+'[2]ACT 2019'!P9</f>
        <v>30000</v>
      </c>
      <c r="L9" s="292"/>
      <c r="M9" s="42"/>
      <c r="N9" s="293"/>
      <c r="O9" s="294"/>
      <c r="P9" s="179"/>
      <c r="Q9" s="293"/>
      <c r="R9" s="294"/>
      <c r="S9" s="225"/>
      <c r="T9" s="293">
        <f>+N9+Q9</f>
        <v>0</v>
      </c>
      <c r="U9" s="294"/>
      <c r="V9" s="179"/>
      <c r="W9" s="559">
        <f t="shared" si="1"/>
        <v>9</v>
      </c>
      <c r="X9" s="524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</row>
    <row r="10" spans="1:58" s="70" customFormat="1" ht="12">
      <c r="A10" s="559">
        <f t="shared" si="0"/>
        <v>10</v>
      </c>
      <c r="B10" s="86"/>
      <c r="C10" s="252" t="s">
        <v>158</v>
      </c>
      <c r="D10" s="153"/>
      <c r="E10" s="61"/>
      <c r="F10" s="289"/>
      <c r="G10" s="290"/>
      <c r="H10" s="291">
        <f>+'[1]EST 2019'!M13</f>
        <v>0</v>
      </c>
      <c r="I10" s="292"/>
      <c r="J10" s="42"/>
      <c r="K10" s="291">
        <f>+'[2]ACT 2019'!P10</f>
        <v>0</v>
      </c>
      <c r="L10" s="292"/>
      <c r="M10" s="42"/>
      <c r="N10" s="293"/>
      <c r="O10" s="294"/>
      <c r="P10" s="179"/>
      <c r="Q10" s="522">
        <v>36425</v>
      </c>
      <c r="R10" s="294"/>
      <c r="S10" s="225"/>
      <c r="T10" s="293">
        <f>+N10+Q10</f>
        <v>36425</v>
      </c>
      <c r="U10" s="294"/>
      <c r="V10" s="179"/>
      <c r="W10" s="559">
        <f t="shared" si="1"/>
        <v>10</v>
      </c>
      <c r="X10" s="524" t="s">
        <v>164</v>
      </c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</row>
    <row r="11" spans="1:58" s="70" customFormat="1" ht="12">
      <c r="A11" s="559">
        <f t="shared" si="0"/>
        <v>11</v>
      </c>
      <c r="B11" s="86"/>
      <c r="C11" s="88"/>
      <c r="D11" s="153"/>
      <c r="E11" s="61"/>
      <c r="F11" s="289"/>
      <c r="G11" s="290"/>
      <c r="H11" s="291"/>
      <c r="I11" s="292"/>
      <c r="J11" s="42"/>
      <c r="K11" s="291"/>
      <c r="L11" s="292"/>
      <c r="M11" s="42"/>
      <c r="N11" s="293"/>
      <c r="O11" s="294"/>
      <c r="P11" s="179"/>
      <c r="Q11" s="293"/>
      <c r="R11" s="294"/>
      <c r="S11" s="225"/>
      <c r="T11" s="293"/>
      <c r="U11" s="294"/>
      <c r="V11" s="179"/>
      <c r="W11" s="559">
        <f t="shared" si="1"/>
        <v>11</v>
      </c>
      <c r="X11" s="524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</row>
    <row r="12" spans="1:58" s="70" customFormat="1" ht="12">
      <c r="A12" s="559">
        <f t="shared" si="0"/>
        <v>12</v>
      </c>
      <c r="B12" s="121" t="s">
        <v>30</v>
      </c>
      <c r="C12" s="88"/>
      <c r="D12" s="153"/>
      <c r="E12" s="61"/>
      <c r="F12" s="372">
        <f>SUM(E13:E25)</f>
        <v>272500</v>
      </c>
      <c r="G12" s="297"/>
      <c r="H12" s="291"/>
      <c r="I12" s="188">
        <f>SUM(H13:H25)</f>
        <v>255984</v>
      </c>
      <c r="J12" s="42"/>
      <c r="K12" s="291"/>
      <c r="L12" s="188">
        <f>SUM(K13:K25)</f>
        <v>254918</v>
      </c>
      <c r="M12" s="42"/>
      <c r="N12" s="293"/>
      <c r="O12" s="296">
        <f>SUM(N13:N25)</f>
        <v>307000</v>
      </c>
      <c r="P12" s="179"/>
      <c r="Q12" s="293"/>
      <c r="R12" s="296">
        <f>SUM(Q13:Q25)</f>
        <v>-190932</v>
      </c>
      <c r="S12" s="225"/>
      <c r="T12" s="293"/>
      <c r="U12" s="296">
        <f>SUM(T13:T25)</f>
        <v>116068</v>
      </c>
      <c r="V12" s="179"/>
      <c r="W12" s="559">
        <f t="shared" si="1"/>
        <v>12</v>
      </c>
      <c r="X12" s="524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</row>
    <row r="13" spans="1:58" s="70" customFormat="1" ht="12">
      <c r="A13" s="559">
        <f t="shared" si="0"/>
        <v>13</v>
      </c>
      <c r="B13" s="90"/>
      <c r="C13" s="497" t="s">
        <v>45</v>
      </c>
      <c r="D13" s="189"/>
      <c r="E13" s="61">
        <f>+'[2]ACT 2019'!D13</f>
        <v>121000</v>
      </c>
      <c r="F13" s="289"/>
      <c r="G13" s="290"/>
      <c r="H13" s="291">
        <f>+'[2]ACT 2019'!M13</f>
        <v>119362</v>
      </c>
      <c r="I13" s="292"/>
      <c r="J13" s="298"/>
      <c r="K13" s="291">
        <f>+'[2]ACT 2019'!P13</f>
        <v>119362</v>
      </c>
      <c r="L13" s="292"/>
      <c r="M13" s="298"/>
      <c r="N13" s="299">
        <f>135000+5000</f>
        <v>140000</v>
      </c>
      <c r="O13" s="294"/>
      <c r="P13" s="179"/>
      <c r="Q13" s="293">
        <v>-65000</v>
      </c>
      <c r="R13" s="294"/>
      <c r="S13" s="225"/>
      <c r="T13" s="299">
        <v>75000</v>
      </c>
      <c r="U13" s="294"/>
      <c r="V13" s="179"/>
      <c r="W13" s="559">
        <f t="shared" si="1"/>
        <v>13</v>
      </c>
      <c r="X13" s="524" t="s">
        <v>165</v>
      </c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</row>
    <row r="14" spans="1:58" s="70" customFormat="1" ht="12">
      <c r="A14" s="559">
        <f t="shared" si="0"/>
        <v>14</v>
      </c>
      <c r="B14" s="190"/>
      <c r="C14" s="221" t="s">
        <v>9</v>
      </c>
      <c r="D14" s="153"/>
      <c r="E14" s="61">
        <f>+'[2]ACT 2019'!D15</f>
        <v>70000</v>
      </c>
      <c r="F14" s="289"/>
      <c r="G14" s="290"/>
      <c r="H14" s="291">
        <f>+'[2]ACT 2019'!M15</f>
        <v>63211</v>
      </c>
      <c r="I14" s="292"/>
      <c r="J14" s="42"/>
      <c r="K14" s="291">
        <f>+'[2]ACT 2019'!P15</f>
        <v>63211</v>
      </c>
      <c r="L14" s="292"/>
      <c r="M14" s="42"/>
      <c r="N14" s="299">
        <v>70000</v>
      </c>
      <c r="O14" s="294"/>
      <c r="P14" s="179"/>
      <c r="Q14" s="293">
        <v>-70000</v>
      </c>
      <c r="R14" s="294"/>
      <c r="S14" s="225"/>
      <c r="T14" s="299">
        <f t="shared" ref="T14:T25" si="2">+N14+Q14</f>
        <v>0</v>
      </c>
      <c r="U14" s="294"/>
      <c r="V14" s="179"/>
      <c r="W14" s="559">
        <f t="shared" si="1"/>
        <v>14</v>
      </c>
      <c r="X14" s="524" t="s">
        <v>166</v>
      </c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</row>
    <row r="15" spans="1:58" s="70" customFormat="1" ht="12">
      <c r="A15" s="559">
        <f t="shared" si="0"/>
        <v>15</v>
      </c>
      <c r="B15" s="93"/>
      <c r="C15" s="221" t="s">
        <v>33</v>
      </c>
      <c r="D15" s="153"/>
      <c r="E15" s="61">
        <f>+'[2]ACT 2019'!D16</f>
        <v>20000</v>
      </c>
      <c r="F15" s="289"/>
      <c r="G15" s="290"/>
      <c r="H15" s="291">
        <f>+'[2]ACT 2019'!M16</f>
        <v>20000</v>
      </c>
      <c r="I15" s="292"/>
      <c r="J15" s="42"/>
      <c r="K15" s="291">
        <f>+'[2]ACT 2019'!P16</f>
        <v>20000</v>
      </c>
      <c r="L15" s="292"/>
      <c r="M15" s="42"/>
      <c r="N15" s="299">
        <v>20000</v>
      </c>
      <c r="O15" s="294"/>
      <c r="P15" s="179"/>
      <c r="Q15" s="293"/>
      <c r="R15" s="294"/>
      <c r="S15" s="225"/>
      <c r="T15" s="299">
        <f t="shared" si="2"/>
        <v>20000</v>
      </c>
      <c r="U15" s="294"/>
      <c r="V15" s="179"/>
      <c r="W15" s="559">
        <f t="shared" si="1"/>
        <v>15</v>
      </c>
      <c r="X15" s="524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</row>
    <row r="16" spans="1:58" s="70" customFormat="1" ht="12">
      <c r="A16" s="559">
        <f t="shared" si="0"/>
        <v>16</v>
      </c>
      <c r="B16" s="93"/>
      <c r="C16" s="249" t="s">
        <v>47</v>
      </c>
      <c r="D16" s="153"/>
      <c r="E16" s="61">
        <f>+'[2]ACT 2019'!D17</f>
        <v>0</v>
      </c>
      <c r="F16" s="289"/>
      <c r="G16" s="290"/>
      <c r="H16" s="291">
        <f>+'[2]ACT 2019'!M17</f>
        <v>0</v>
      </c>
      <c r="I16" s="292"/>
      <c r="J16" s="42"/>
      <c r="K16" s="291">
        <f>+'[2]ACT 2019'!P17</f>
        <v>0</v>
      </c>
      <c r="L16" s="292"/>
      <c r="M16" s="42"/>
      <c r="N16" s="299">
        <v>25000</v>
      </c>
      <c r="O16" s="294"/>
      <c r="P16" s="179"/>
      <c r="Q16" s="293">
        <v>-25000</v>
      </c>
      <c r="R16" s="294"/>
      <c r="S16" s="225"/>
      <c r="T16" s="299">
        <v>0</v>
      </c>
      <c r="U16" s="294"/>
      <c r="V16" s="179"/>
      <c r="W16" s="559">
        <f t="shared" si="1"/>
        <v>16</v>
      </c>
      <c r="X16" s="524" t="s">
        <v>166</v>
      </c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</row>
    <row r="17" spans="1:58" s="70" customFormat="1" ht="12">
      <c r="A17" s="559">
        <f t="shared" si="0"/>
        <v>17</v>
      </c>
      <c r="B17" s="93"/>
      <c r="C17" s="221" t="s">
        <v>10</v>
      </c>
      <c r="D17" s="153"/>
      <c r="E17" s="61">
        <f>+'[2]ACT 2019'!D18</f>
        <v>23000</v>
      </c>
      <c r="F17" s="289"/>
      <c r="G17" s="290"/>
      <c r="H17" s="291">
        <f>+'[2]ACT 2019'!M18</f>
        <v>16925</v>
      </c>
      <c r="I17" s="292"/>
      <c r="J17" s="42"/>
      <c r="K17" s="291">
        <f>+'[2]ACT 2019'!P18</f>
        <v>16925</v>
      </c>
      <c r="L17" s="292"/>
      <c r="M17" s="42"/>
      <c r="N17" s="299">
        <f>3000+13000</f>
        <v>16000</v>
      </c>
      <c r="O17" s="294"/>
      <c r="P17" s="179"/>
      <c r="Q17" s="293">
        <v>-6932</v>
      </c>
      <c r="R17" s="294"/>
      <c r="S17" s="225"/>
      <c r="T17" s="299">
        <f t="shared" si="2"/>
        <v>9068</v>
      </c>
      <c r="U17" s="294"/>
      <c r="V17" s="179"/>
      <c r="W17" s="559">
        <f t="shared" si="1"/>
        <v>17</v>
      </c>
      <c r="X17" s="524" t="s">
        <v>152</v>
      </c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</row>
    <row r="18" spans="1:58" s="70" customFormat="1" ht="12">
      <c r="A18" s="559">
        <f t="shared" si="0"/>
        <v>18</v>
      </c>
      <c r="B18" s="93"/>
      <c r="C18" s="221" t="s">
        <v>85</v>
      </c>
      <c r="D18" s="153"/>
      <c r="E18" s="61">
        <f>+'[2]ACT 2019'!D19</f>
        <v>12500</v>
      </c>
      <c r="F18" s="289"/>
      <c r="G18" s="290"/>
      <c r="H18" s="291">
        <f>+'[2]ACT 2019'!M19</f>
        <v>11660</v>
      </c>
      <c r="I18" s="292"/>
      <c r="J18" s="42"/>
      <c r="K18" s="291">
        <f>+'[2]ACT 2019'!P19</f>
        <v>10812</v>
      </c>
      <c r="L18" s="292"/>
      <c r="M18" s="42"/>
      <c r="N18" s="299">
        <v>0</v>
      </c>
      <c r="O18" s="294"/>
      <c r="P18" s="179"/>
      <c r="Q18" s="293"/>
      <c r="R18" s="294"/>
      <c r="S18" s="225"/>
      <c r="T18" s="299">
        <f t="shared" si="2"/>
        <v>0</v>
      </c>
      <c r="U18" s="294"/>
      <c r="V18" s="179"/>
      <c r="W18" s="559">
        <f t="shared" si="1"/>
        <v>18</v>
      </c>
      <c r="X18" s="524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</row>
    <row r="19" spans="1:58" s="179" customFormat="1" ht="12">
      <c r="A19" s="559">
        <f t="shared" si="0"/>
        <v>19</v>
      </c>
      <c r="B19" s="190"/>
      <c r="C19" s="221" t="s">
        <v>37</v>
      </c>
      <c r="D19" s="164"/>
      <c r="E19" s="61">
        <f>+'[2]ACT 2019'!D20</f>
        <v>0</v>
      </c>
      <c r="F19" s="289"/>
      <c r="G19" s="290"/>
      <c r="H19" s="291">
        <f>+'[2]ACT 2019'!M20</f>
        <v>0</v>
      </c>
      <c r="I19" s="292"/>
      <c r="J19" s="300"/>
      <c r="K19" s="291">
        <f>+'[2]ACT 2019'!P20</f>
        <v>0</v>
      </c>
      <c r="L19" s="292"/>
      <c r="M19" s="300"/>
      <c r="N19" s="293">
        <v>0</v>
      </c>
      <c r="O19" s="294"/>
      <c r="Q19" s="293"/>
      <c r="R19" s="294"/>
      <c r="S19" s="225"/>
      <c r="T19" s="299">
        <f t="shared" si="2"/>
        <v>0</v>
      </c>
      <c r="U19" s="294"/>
      <c r="W19" s="559">
        <f t="shared" si="1"/>
        <v>19</v>
      </c>
      <c r="X19" s="524"/>
    </row>
    <row r="20" spans="1:58" s="70" customFormat="1" ht="12">
      <c r="A20" s="559">
        <f t="shared" si="0"/>
        <v>20</v>
      </c>
      <c r="B20" s="93"/>
      <c r="C20" s="221" t="s">
        <v>38</v>
      </c>
      <c r="D20" s="153"/>
      <c r="E20" s="61">
        <f>+'[2]ACT 2019'!D21</f>
        <v>15000</v>
      </c>
      <c r="F20" s="301"/>
      <c r="G20" s="290"/>
      <c r="H20" s="291">
        <f>+'[2]ACT 2019'!M21</f>
        <v>16840</v>
      </c>
      <c r="I20" s="302"/>
      <c r="J20" s="42"/>
      <c r="K20" s="291">
        <f>+'[2]ACT 2019'!P21</f>
        <v>16660</v>
      </c>
      <c r="L20" s="302"/>
      <c r="M20" s="42"/>
      <c r="N20" s="299">
        <f>15000+1500</f>
        <v>16500</v>
      </c>
      <c r="O20" s="303"/>
      <c r="P20" s="179"/>
      <c r="Q20" s="293">
        <v>-10000</v>
      </c>
      <c r="R20" s="303"/>
      <c r="S20" s="225"/>
      <c r="T20" s="299">
        <f t="shared" si="2"/>
        <v>6500</v>
      </c>
      <c r="U20" s="303"/>
      <c r="V20" s="179"/>
      <c r="W20" s="559">
        <f t="shared" si="1"/>
        <v>20</v>
      </c>
      <c r="X20" s="524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</row>
    <row r="21" spans="1:58" s="70" customFormat="1" ht="12">
      <c r="A21" s="559">
        <f t="shared" si="0"/>
        <v>21</v>
      </c>
      <c r="B21" s="192"/>
      <c r="C21" s="193" t="s">
        <v>39</v>
      </c>
      <c r="D21" s="194"/>
      <c r="E21" s="61">
        <f>+'[2]ACT 2019'!D22</f>
        <v>5000</v>
      </c>
      <c r="F21" s="301"/>
      <c r="G21" s="290"/>
      <c r="H21" s="291">
        <f>+'[2]ACT 2019'!M22</f>
        <v>5419</v>
      </c>
      <c r="I21" s="302"/>
      <c r="J21" s="300"/>
      <c r="K21" s="291">
        <f>+'[2]ACT 2019'!P22</f>
        <v>5419</v>
      </c>
      <c r="L21" s="302"/>
      <c r="M21" s="300"/>
      <c r="N21" s="299">
        <v>5000</v>
      </c>
      <c r="O21" s="303"/>
      <c r="P21" s="179"/>
      <c r="Q21" s="293">
        <v>-5000</v>
      </c>
      <c r="R21" s="303"/>
      <c r="S21" s="225"/>
      <c r="T21" s="299">
        <f t="shared" si="2"/>
        <v>0</v>
      </c>
      <c r="U21" s="303"/>
      <c r="V21" s="179"/>
      <c r="W21" s="559">
        <f t="shared" si="1"/>
        <v>21</v>
      </c>
      <c r="X21" s="524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</row>
    <row r="22" spans="1:58" s="70" customFormat="1" ht="12">
      <c r="A22" s="559">
        <f t="shared" si="0"/>
        <v>22</v>
      </c>
      <c r="B22" s="190"/>
      <c r="C22" s="221" t="s">
        <v>40</v>
      </c>
      <c r="D22" s="164"/>
      <c r="E22" s="61">
        <f>+'[2]ACT 2019'!D23</f>
        <v>3000</v>
      </c>
      <c r="F22" s="301"/>
      <c r="G22" s="290"/>
      <c r="H22" s="291">
        <f>+'[2]ACT 2019'!M23</f>
        <v>0</v>
      </c>
      <c r="I22" s="302"/>
      <c r="J22" s="300"/>
      <c r="K22" s="291">
        <f>+'[2]ACT 2019'!P23</f>
        <v>0</v>
      </c>
      <c r="L22" s="302"/>
      <c r="M22" s="300"/>
      <c r="N22" s="299">
        <v>3000</v>
      </c>
      <c r="O22" s="303"/>
      <c r="P22" s="179"/>
      <c r="Q22" s="293"/>
      <c r="R22" s="303"/>
      <c r="S22" s="225"/>
      <c r="T22" s="299">
        <f t="shared" si="2"/>
        <v>3000</v>
      </c>
      <c r="U22" s="303"/>
      <c r="V22" s="179"/>
      <c r="W22" s="559">
        <f t="shared" si="1"/>
        <v>22</v>
      </c>
      <c r="X22" s="524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</row>
    <row r="23" spans="1:58" s="179" customFormat="1" ht="12">
      <c r="A23" s="559">
        <f t="shared" si="0"/>
        <v>23</v>
      </c>
      <c r="B23" s="190"/>
      <c r="C23" s="221" t="s">
        <v>41</v>
      </c>
      <c r="D23" s="164"/>
      <c r="E23" s="61">
        <f>+'[2]ACT 2019'!D25</f>
        <v>500</v>
      </c>
      <c r="F23" s="301"/>
      <c r="G23" s="290"/>
      <c r="H23" s="291">
        <f>+'[2]ACT 2019'!M25</f>
        <v>67</v>
      </c>
      <c r="I23" s="302"/>
      <c r="J23" s="300"/>
      <c r="K23" s="291">
        <f>+'[2]ACT 2019'!P25</f>
        <v>29</v>
      </c>
      <c r="L23" s="302"/>
      <c r="M23" s="300"/>
      <c r="N23" s="293">
        <v>0</v>
      </c>
      <c r="O23" s="303"/>
      <c r="Q23" s="293"/>
      <c r="R23" s="303"/>
      <c r="S23" s="225"/>
      <c r="T23" s="299">
        <f t="shared" si="2"/>
        <v>0</v>
      </c>
      <c r="U23" s="303"/>
      <c r="W23" s="559">
        <f t="shared" si="1"/>
        <v>23</v>
      </c>
      <c r="X23" s="524"/>
    </row>
    <row r="24" spans="1:58" s="70" customFormat="1" ht="12">
      <c r="A24" s="559">
        <f t="shared" si="0"/>
        <v>24</v>
      </c>
      <c r="B24" s="93"/>
      <c r="C24" s="88" t="s">
        <v>11</v>
      </c>
      <c r="D24" s="153"/>
      <c r="E24" s="61">
        <f>+'[2]ACT 2019'!D14</f>
        <v>2500</v>
      </c>
      <c r="F24" s="301"/>
      <c r="G24" s="290"/>
      <c r="H24" s="291">
        <f>+'[2]ACT 2019'!M14</f>
        <v>2500</v>
      </c>
      <c r="I24" s="302"/>
      <c r="J24" s="42"/>
      <c r="K24" s="291">
        <f>+'[2]ACT 2019'!P14</f>
        <v>2500</v>
      </c>
      <c r="L24" s="302"/>
      <c r="M24" s="42"/>
      <c r="N24" s="299">
        <v>2500</v>
      </c>
      <c r="O24" s="303"/>
      <c r="P24" s="179"/>
      <c r="Q24" s="287"/>
      <c r="R24" s="303"/>
      <c r="S24" s="225"/>
      <c r="T24" s="299">
        <f t="shared" si="2"/>
        <v>2500</v>
      </c>
      <c r="U24" s="303"/>
      <c r="V24" s="179"/>
      <c r="W24" s="559">
        <f t="shared" si="1"/>
        <v>24</v>
      </c>
      <c r="X24" s="524" t="s">
        <v>153</v>
      </c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</row>
    <row r="25" spans="1:58" s="70" customFormat="1" ht="12">
      <c r="A25" s="559">
        <f t="shared" si="0"/>
        <v>25</v>
      </c>
      <c r="B25" s="93"/>
      <c r="C25" s="249" t="s">
        <v>110</v>
      </c>
      <c r="D25" s="153"/>
      <c r="E25" s="61"/>
      <c r="F25" s="301"/>
      <c r="G25" s="290"/>
      <c r="H25" s="304"/>
      <c r="I25" s="302"/>
      <c r="J25" s="42"/>
      <c r="K25" s="304"/>
      <c r="L25" s="302"/>
      <c r="M25" s="42"/>
      <c r="N25" s="299">
        <v>9000</v>
      </c>
      <c r="O25" s="303"/>
      <c r="P25" s="179"/>
      <c r="Q25" s="318">
        <v>-9000</v>
      </c>
      <c r="R25" s="303"/>
      <c r="S25" s="225"/>
      <c r="T25" s="299">
        <f t="shared" si="2"/>
        <v>0</v>
      </c>
      <c r="U25" s="303"/>
      <c r="V25" s="179"/>
      <c r="W25" s="559">
        <f t="shared" si="1"/>
        <v>25</v>
      </c>
      <c r="X25" s="524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</row>
    <row r="26" spans="1:58" s="70" customFormat="1" ht="12">
      <c r="A26" s="559">
        <f t="shared" si="0"/>
        <v>26</v>
      </c>
      <c r="B26" s="305" t="s">
        <v>86</v>
      </c>
      <c r="C26" s="506"/>
      <c r="D26" s="164"/>
      <c r="E26" s="263"/>
      <c r="F26" s="307">
        <f>SUM(F5:F24)</f>
        <v>447500</v>
      </c>
      <c r="G26" s="74"/>
      <c r="H26" s="308"/>
      <c r="I26" s="307">
        <f>SUM(I5:I24)</f>
        <v>406413</v>
      </c>
      <c r="J26" s="300"/>
      <c r="K26" s="308"/>
      <c r="L26" s="307">
        <f>SUM(L5:L24)</f>
        <v>411740</v>
      </c>
      <c r="M26" s="300"/>
      <c r="N26" s="306"/>
      <c r="O26" s="307">
        <f>SUM(O5:O24)</f>
        <v>422000</v>
      </c>
      <c r="P26" s="495">
        <f>SUM(N5:N25)+O5</f>
        <v>422000</v>
      </c>
      <c r="Q26" s="309"/>
      <c r="R26" s="481">
        <f>SUM(R5:R24)</f>
        <v>-204507</v>
      </c>
      <c r="S26" s="225"/>
      <c r="T26" s="309"/>
      <c r="U26" s="481">
        <f>SUM(U5:U24)</f>
        <v>217493</v>
      </c>
      <c r="V26" s="495">
        <f>SUM(T5:T25)+U5</f>
        <v>217493</v>
      </c>
      <c r="W26" s="559">
        <f t="shared" si="1"/>
        <v>26</v>
      </c>
      <c r="X26" s="524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</row>
    <row r="27" spans="1:58" s="70" customFormat="1" ht="13" thickBot="1">
      <c r="A27" s="559">
        <f t="shared" si="0"/>
        <v>27</v>
      </c>
      <c r="B27" s="93"/>
      <c r="C27" s="88"/>
      <c r="D27" s="153"/>
      <c r="E27" s="277"/>
      <c r="F27" s="310"/>
      <c r="G27" s="311"/>
      <c r="H27" s="279"/>
      <c r="I27" s="312"/>
      <c r="J27" s="42"/>
      <c r="K27" s="279"/>
      <c r="L27" s="312"/>
      <c r="M27" s="42"/>
      <c r="N27" s="280"/>
      <c r="O27" s="313"/>
      <c r="P27" s="179"/>
      <c r="Q27" s="280"/>
      <c r="R27" s="313"/>
      <c r="S27" s="225"/>
      <c r="T27" s="280"/>
      <c r="U27" s="313"/>
      <c r="V27" s="179"/>
      <c r="W27" s="559">
        <f t="shared" si="1"/>
        <v>27</v>
      </c>
      <c r="X27" s="524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</row>
    <row r="28" spans="1:58" s="70" customFormat="1" ht="13" thickBot="1">
      <c r="A28" s="559">
        <f t="shared" si="0"/>
        <v>28</v>
      </c>
      <c r="B28" s="314" t="s">
        <v>87</v>
      </c>
      <c r="C28" s="176"/>
      <c r="D28" s="153"/>
      <c r="E28" s="277"/>
      <c r="F28" s="315"/>
      <c r="G28" s="311"/>
      <c r="H28" s="279"/>
      <c r="I28" s="316"/>
      <c r="J28" s="42"/>
      <c r="K28" s="279"/>
      <c r="L28" s="316"/>
      <c r="M28" s="42"/>
      <c r="N28" s="280"/>
      <c r="O28" s="317"/>
      <c r="P28" s="179"/>
      <c r="Q28" s="280"/>
      <c r="R28" s="317"/>
      <c r="S28" s="225"/>
      <c r="T28" s="280"/>
      <c r="U28" s="317"/>
      <c r="V28" s="179"/>
      <c r="W28" s="559">
        <f t="shared" si="1"/>
        <v>28</v>
      </c>
      <c r="X28" s="524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</row>
    <row r="29" spans="1:58" s="70" customFormat="1" ht="12">
      <c r="A29" s="559">
        <f t="shared" si="0"/>
        <v>29</v>
      </c>
      <c r="B29" s="86" t="s">
        <v>44</v>
      </c>
      <c r="C29" s="88"/>
      <c r="D29" s="153"/>
      <c r="E29" s="295"/>
      <c r="F29" s="372">
        <f>SUM(E30:E41)</f>
        <v>192000</v>
      </c>
      <c r="G29" s="297"/>
      <c r="H29" s="291"/>
      <c r="I29" s="188">
        <f>SUM(H30:H43)</f>
        <v>185561.21</v>
      </c>
      <c r="J29" s="42"/>
      <c r="K29" s="291"/>
      <c r="L29" s="188">
        <f>SUM(K30:K43)</f>
        <v>184322</v>
      </c>
      <c r="M29" s="42"/>
      <c r="N29" s="293"/>
      <c r="O29" s="296">
        <f>SUM(N30:N42)</f>
        <v>203000</v>
      </c>
      <c r="P29" s="179"/>
      <c r="Q29" s="293"/>
      <c r="R29" s="296">
        <f>SUM(Q30:Q42)</f>
        <v>-150372</v>
      </c>
      <c r="S29" s="225"/>
      <c r="T29" s="293"/>
      <c r="U29" s="296">
        <f>SUM(T30:T42)</f>
        <v>52628</v>
      </c>
      <c r="V29" s="179"/>
      <c r="W29" s="559">
        <f t="shared" si="1"/>
        <v>29</v>
      </c>
      <c r="X29" s="524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</row>
    <row r="30" spans="1:58" s="70" customFormat="1" ht="12">
      <c r="A30" s="559">
        <f t="shared" si="0"/>
        <v>30</v>
      </c>
      <c r="B30" s="93"/>
      <c r="C30" s="249" t="s">
        <v>45</v>
      </c>
      <c r="D30" s="153"/>
      <c r="E30" s="503">
        <f>+'[2]ACT 2019'!D31</f>
        <v>71000</v>
      </c>
      <c r="F30" s="289"/>
      <c r="G30" s="290"/>
      <c r="H30" s="291">
        <f>+'[2]ACT 2019'!M31</f>
        <v>75244.929999999993</v>
      </c>
      <c r="I30" s="292"/>
      <c r="J30" s="42"/>
      <c r="K30" s="291">
        <f>+'[2]ACT 2019'!P31</f>
        <v>73995</v>
      </c>
      <c r="L30" s="292"/>
      <c r="M30" s="42"/>
      <c r="N30" s="299">
        <v>76000</v>
      </c>
      <c r="O30" s="294"/>
      <c r="P30" s="179"/>
      <c r="Q30" s="293">
        <v>-66000</v>
      </c>
      <c r="R30" s="294"/>
      <c r="S30" s="225"/>
      <c r="T30" s="299">
        <f>+N30+Q30</f>
        <v>10000</v>
      </c>
      <c r="U30" s="294"/>
      <c r="V30" s="179"/>
      <c r="W30" s="559">
        <f t="shared" si="1"/>
        <v>30</v>
      </c>
      <c r="X30" s="524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</row>
    <row r="31" spans="1:58" s="70" customFormat="1" ht="12">
      <c r="A31" s="559">
        <f t="shared" si="0"/>
        <v>31</v>
      </c>
      <c r="B31" s="190"/>
      <c r="C31" s="221" t="s">
        <v>9</v>
      </c>
      <c r="D31" s="153"/>
      <c r="E31" s="503">
        <f>+'[2]ACT 2019'!D33</f>
        <v>50000</v>
      </c>
      <c r="F31" s="289"/>
      <c r="G31" s="290"/>
      <c r="H31" s="291">
        <f>+'[2]ACT 2019'!M33</f>
        <v>45365</v>
      </c>
      <c r="I31" s="292"/>
      <c r="J31" s="42"/>
      <c r="K31" s="291">
        <f>+'[2]ACT 2019'!P33</f>
        <v>45365</v>
      </c>
      <c r="L31" s="292"/>
      <c r="M31" s="42"/>
      <c r="N31" s="299">
        <v>54000</v>
      </c>
      <c r="O31" s="294"/>
      <c r="P31" s="179"/>
      <c r="Q31" s="293">
        <v>-54000</v>
      </c>
      <c r="R31" s="294"/>
      <c r="S31" s="225"/>
      <c r="T31" s="299">
        <f t="shared" ref="T31:T42" si="3">+N31+Q31</f>
        <v>0</v>
      </c>
      <c r="U31" s="294"/>
      <c r="V31" s="179"/>
      <c r="W31" s="559">
        <f t="shared" si="1"/>
        <v>31</v>
      </c>
      <c r="X31" s="524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</row>
    <row r="32" spans="1:58" s="70" customFormat="1" ht="12">
      <c r="A32" s="559">
        <f t="shared" si="0"/>
        <v>32</v>
      </c>
      <c r="B32" s="93"/>
      <c r="C32" s="88" t="s">
        <v>46</v>
      </c>
      <c r="D32" s="153"/>
      <c r="E32" s="503">
        <v>20000</v>
      </c>
      <c r="F32" s="289"/>
      <c r="G32" s="290"/>
      <c r="H32" s="291">
        <f>+'[2]ACT 2019'!M34</f>
        <v>20301.559999999998</v>
      </c>
      <c r="I32" s="292"/>
      <c r="J32" s="42"/>
      <c r="K32" s="291">
        <f>+'[2]ACT 2019'!P34</f>
        <v>20302</v>
      </c>
      <c r="L32" s="292"/>
      <c r="M32" s="42"/>
      <c r="N32" s="299">
        <v>20000</v>
      </c>
      <c r="O32" s="294"/>
      <c r="P32" s="179"/>
      <c r="Q32" s="293"/>
      <c r="R32" s="294"/>
      <c r="S32" s="225"/>
      <c r="T32" s="299">
        <f t="shared" si="3"/>
        <v>20000</v>
      </c>
      <c r="U32" s="294"/>
      <c r="V32" s="179"/>
      <c r="W32" s="559">
        <f t="shared" si="1"/>
        <v>32</v>
      </c>
      <c r="X32" s="524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</row>
    <row r="33" spans="1:58" s="70" customFormat="1" ht="12">
      <c r="A33" s="559">
        <f t="shared" si="0"/>
        <v>33</v>
      </c>
      <c r="B33" s="93"/>
      <c r="C33" s="249" t="s">
        <v>47</v>
      </c>
      <c r="D33" s="153"/>
      <c r="E33" s="503">
        <v>0</v>
      </c>
      <c r="F33" s="289"/>
      <c r="G33" s="290"/>
      <c r="H33" s="291">
        <f>+'[2]ACT 2019'!M35</f>
        <v>0</v>
      </c>
      <c r="I33" s="292"/>
      <c r="J33" s="42"/>
      <c r="K33" s="291">
        <f>+'[2]ACT 2019'!P35</f>
        <v>0</v>
      </c>
      <c r="L33" s="292"/>
      <c r="M33" s="42"/>
      <c r="N33" s="299">
        <v>20000</v>
      </c>
      <c r="O33" s="294"/>
      <c r="P33" s="179"/>
      <c r="Q33" s="293">
        <v>-19000</v>
      </c>
      <c r="R33" s="294"/>
      <c r="S33" s="225"/>
      <c r="T33" s="299">
        <f t="shared" si="3"/>
        <v>1000</v>
      </c>
      <c r="U33" s="294"/>
      <c r="V33" s="179"/>
      <c r="W33" s="559">
        <f t="shared" si="1"/>
        <v>33</v>
      </c>
      <c r="X33" s="524" t="s">
        <v>167</v>
      </c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</row>
    <row r="34" spans="1:58" s="70" customFormat="1" ht="12">
      <c r="A34" s="559">
        <f t="shared" si="0"/>
        <v>34</v>
      </c>
      <c r="B34" s="93"/>
      <c r="C34" s="221" t="s">
        <v>10</v>
      </c>
      <c r="D34" s="153"/>
      <c r="E34" s="503">
        <v>8500</v>
      </c>
      <c r="F34" s="289"/>
      <c r="G34" s="290"/>
      <c r="H34" s="291">
        <f>+'[2]ACT 2019'!M36</f>
        <v>10831</v>
      </c>
      <c r="I34" s="292"/>
      <c r="J34" s="42"/>
      <c r="K34" s="291">
        <f>+'[2]ACT 2019'!P36</f>
        <v>10831</v>
      </c>
      <c r="L34" s="292"/>
      <c r="M34" s="42"/>
      <c r="N34" s="299">
        <v>4500</v>
      </c>
      <c r="O34" s="294"/>
      <c r="P34" s="179"/>
      <c r="Q34" s="293">
        <v>6128</v>
      </c>
      <c r="R34" s="294"/>
      <c r="S34" s="225"/>
      <c r="T34" s="299">
        <f t="shared" si="3"/>
        <v>10628</v>
      </c>
      <c r="U34" s="294"/>
      <c r="V34" s="179"/>
      <c r="W34" s="559">
        <f t="shared" si="1"/>
        <v>34</v>
      </c>
      <c r="X34" s="524" t="s">
        <v>152</v>
      </c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</row>
    <row r="35" spans="1:58" s="70" customFormat="1" ht="12">
      <c r="A35" s="559">
        <f t="shared" si="0"/>
        <v>35</v>
      </c>
      <c r="B35" s="93"/>
      <c r="C35" s="221" t="s">
        <v>48</v>
      </c>
      <c r="D35" s="153"/>
      <c r="E35" s="503">
        <v>15000</v>
      </c>
      <c r="F35" s="289"/>
      <c r="G35" s="290"/>
      <c r="H35" s="291">
        <f>+'[2]ACT 2019'!M37</f>
        <v>15104.279999999999</v>
      </c>
      <c r="I35" s="292"/>
      <c r="J35" s="42"/>
      <c r="K35" s="291">
        <f>+'[2]ACT 2019'!P37</f>
        <v>15588</v>
      </c>
      <c r="L35" s="292"/>
      <c r="M35" s="42"/>
      <c r="N35" s="299">
        <v>0</v>
      </c>
      <c r="O35" s="294"/>
      <c r="P35" s="179"/>
      <c r="Q35" s="293"/>
      <c r="R35" s="294"/>
      <c r="S35" s="225"/>
      <c r="T35" s="299">
        <f t="shared" si="3"/>
        <v>0</v>
      </c>
      <c r="U35" s="294"/>
      <c r="V35" s="179"/>
      <c r="W35" s="559">
        <f t="shared" si="1"/>
        <v>35</v>
      </c>
      <c r="X35" s="524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</row>
    <row r="36" spans="1:58" s="70" customFormat="1" ht="12">
      <c r="A36" s="559">
        <f t="shared" si="0"/>
        <v>36</v>
      </c>
      <c r="B36" s="190"/>
      <c r="C36" s="221" t="s">
        <v>49</v>
      </c>
      <c r="D36" s="153"/>
      <c r="E36" s="503">
        <v>5000</v>
      </c>
      <c r="F36" s="289"/>
      <c r="G36" s="290"/>
      <c r="H36" s="291">
        <f>+'[2]ACT 2019'!M38</f>
        <v>483.22</v>
      </c>
      <c r="I36" s="292"/>
      <c r="J36" s="42"/>
      <c r="K36" s="291">
        <f>+'[2]ACT 2019'!P38</f>
        <v>0</v>
      </c>
      <c r="L36" s="292"/>
      <c r="M36" s="42"/>
      <c r="N36" s="299">
        <v>0</v>
      </c>
      <c r="O36" s="294"/>
      <c r="P36" s="179"/>
      <c r="Q36" s="293"/>
      <c r="R36" s="294"/>
      <c r="S36" s="225"/>
      <c r="T36" s="299">
        <f t="shared" si="3"/>
        <v>0</v>
      </c>
      <c r="U36" s="294"/>
      <c r="V36" s="179"/>
      <c r="W36" s="559">
        <f t="shared" si="1"/>
        <v>36</v>
      </c>
      <c r="X36" s="524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</row>
    <row r="37" spans="1:58" s="70" customFormat="1" ht="12">
      <c r="A37" s="559">
        <f t="shared" si="0"/>
        <v>37</v>
      </c>
      <c r="B37" s="93"/>
      <c r="C37" s="221" t="s">
        <v>37</v>
      </c>
      <c r="D37" s="153"/>
      <c r="E37" s="503">
        <v>0</v>
      </c>
      <c r="F37" s="289"/>
      <c r="G37" s="290"/>
      <c r="H37" s="291">
        <f>+'[2]ACT 2019'!M39</f>
        <v>0</v>
      </c>
      <c r="I37" s="292"/>
      <c r="J37" s="42"/>
      <c r="K37" s="291">
        <f>+'[2]ACT 2019'!P39</f>
        <v>0</v>
      </c>
      <c r="L37" s="292"/>
      <c r="M37" s="42"/>
      <c r="N37" s="299">
        <v>0</v>
      </c>
      <c r="O37" s="294"/>
      <c r="P37" s="179"/>
      <c r="Q37" s="293"/>
      <c r="R37" s="294"/>
      <c r="S37" s="225"/>
      <c r="T37" s="299">
        <f t="shared" si="3"/>
        <v>0</v>
      </c>
      <c r="U37" s="294"/>
      <c r="V37" s="179"/>
      <c r="W37" s="559">
        <f t="shared" si="1"/>
        <v>37</v>
      </c>
      <c r="X37" s="524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</row>
    <row r="38" spans="1:58" s="201" customFormat="1" ht="12">
      <c r="A38" s="559">
        <f t="shared" si="0"/>
        <v>38</v>
      </c>
      <c r="B38" s="190"/>
      <c r="C38" s="221" t="s">
        <v>111</v>
      </c>
      <c r="D38" s="164"/>
      <c r="E38" s="503">
        <v>5000</v>
      </c>
      <c r="F38" s="289"/>
      <c r="G38" s="290"/>
      <c r="H38" s="291">
        <f>+'[2]ACT 2019'!M40</f>
        <v>1808</v>
      </c>
      <c r="I38" s="292"/>
      <c r="J38" s="300"/>
      <c r="K38" s="291">
        <f>+'[2]ACT 2019'!P40</f>
        <v>1808</v>
      </c>
      <c r="L38" s="292"/>
      <c r="M38" s="300"/>
      <c r="N38" s="299">
        <v>2000</v>
      </c>
      <c r="O38" s="294"/>
      <c r="P38" s="179"/>
      <c r="Q38" s="280">
        <v>-2000</v>
      </c>
      <c r="R38" s="294"/>
      <c r="S38" s="225"/>
      <c r="T38" s="299">
        <f t="shared" si="3"/>
        <v>0</v>
      </c>
      <c r="U38" s="294"/>
      <c r="V38" s="179"/>
      <c r="W38" s="559">
        <f t="shared" si="1"/>
        <v>38</v>
      </c>
      <c r="X38" s="524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</row>
    <row r="39" spans="1:58" s="70" customFormat="1" ht="12">
      <c r="A39" s="559">
        <f t="shared" si="0"/>
        <v>39</v>
      </c>
      <c r="B39" s="93"/>
      <c r="C39" s="88" t="s">
        <v>38</v>
      </c>
      <c r="D39" s="164"/>
      <c r="E39" s="503">
        <v>12500</v>
      </c>
      <c r="F39" s="289"/>
      <c r="G39" s="290"/>
      <c r="H39" s="291">
        <f>+'[2]ACT 2019'!M41</f>
        <v>13790.22</v>
      </c>
      <c r="I39" s="292"/>
      <c r="J39" s="300"/>
      <c r="K39" s="291">
        <f>+'[2]ACT 2019'!P41</f>
        <v>13790</v>
      </c>
      <c r="L39" s="292"/>
      <c r="M39" s="300"/>
      <c r="N39" s="299">
        <v>14000</v>
      </c>
      <c r="O39" s="294"/>
      <c r="P39" s="179"/>
      <c r="Q39" s="293">
        <v>-8000</v>
      </c>
      <c r="R39" s="294"/>
      <c r="S39" s="225"/>
      <c r="T39" s="299">
        <f t="shared" si="3"/>
        <v>6000</v>
      </c>
      <c r="U39" s="294"/>
      <c r="V39" s="179"/>
      <c r="W39" s="559">
        <f t="shared" si="1"/>
        <v>39</v>
      </c>
      <c r="X39" s="524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</row>
    <row r="40" spans="1:58" s="201" customFormat="1" ht="12">
      <c r="A40" s="559">
        <f t="shared" si="0"/>
        <v>40</v>
      </c>
      <c r="B40" s="190"/>
      <c r="C40" s="221" t="s">
        <v>12</v>
      </c>
      <c r="D40" s="164"/>
      <c r="E40" s="503">
        <v>2500</v>
      </c>
      <c r="F40" s="289"/>
      <c r="G40" s="290"/>
      <c r="H40" s="291">
        <f>+'[2]ACT 2019'!M42</f>
        <v>133</v>
      </c>
      <c r="I40" s="292"/>
      <c r="J40" s="300"/>
      <c r="K40" s="291">
        <f>+'[2]ACT 2019'!P42</f>
        <v>143</v>
      </c>
      <c r="L40" s="292"/>
      <c r="M40" s="300"/>
      <c r="N40" s="299">
        <v>2500</v>
      </c>
      <c r="O40" s="294"/>
      <c r="P40" s="179"/>
      <c r="Q40" s="293"/>
      <c r="R40" s="294"/>
      <c r="S40" s="225"/>
      <c r="T40" s="299">
        <f t="shared" si="3"/>
        <v>2500</v>
      </c>
      <c r="U40" s="294"/>
      <c r="V40" s="179"/>
      <c r="W40" s="559">
        <f t="shared" si="1"/>
        <v>40</v>
      </c>
      <c r="X40" s="524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</row>
    <row r="41" spans="1:58" s="70" customFormat="1" ht="12">
      <c r="A41" s="559">
        <f t="shared" si="0"/>
        <v>41</v>
      </c>
      <c r="B41" s="93"/>
      <c r="C41" s="88" t="s">
        <v>11</v>
      </c>
      <c r="D41" s="153"/>
      <c r="E41" s="503">
        <f>+'[2]ACT 2019'!D32</f>
        <v>2500</v>
      </c>
      <c r="F41" s="289"/>
      <c r="G41" s="290"/>
      <c r="H41" s="291">
        <f>+'[2]ACT 2019'!M32</f>
        <v>2500</v>
      </c>
      <c r="I41" s="292"/>
      <c r="J41" s="42"/>
      <c r="K41" s="291">
        <f>+'[2]ACT 2019'!P32</f>
        <v>2500</v>
      </c>
      <c r="L41" s="292"/>
      <c r="M41" s="42"/>
      <c r="N41" s="299">
        <v>2500</v>
      </c>
      <c r="O41" s="294"/>
      <c r="P41" s="179"/>
      <c r="Q41" s="293"/>
      <c r="R41" s="294"/>
      <c r="S41" s="225"/>
      <c r="T41" s="299">
        <f t="shared" si="3"/>
        <v>2500</v>
      </c>
      <c r="U41" s="294"/>
      <c r="V41" s="179"/>
      <c r="W41" s="559">
        <f t="shared" si="1"/>
        <v>41</v>
      </c>
      <c r="X41" s="524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</row>
    <row r="42" spans="1:58" s="70" customFormat="1" ht="12">
      <c r="A42" s="559">
        <f t="shared" si="0"/>
        <v>42</v>
      </c>
      <c r="B42" s="93"/>
      <c r="C42" s="249" t="s">
        <v>110</v>
      </c>
      <c r="D42" s="153"/>
      <c r="E42" s="503"/>
      <c r="F42" s="289"/>
      <c r="G42" s="290"/>
      <c r="H42" s="291"/>
      <c r="I42" s="292"/>
      <c r="J42" s="42"/>
      <c r="K42" s="291"/>
      <c r="L42" s="292"/>
      <c r="M42" s="42"/>
      <c r="N42" s="299">
        <v>7500</v>
      </c>
      <c r="O42" s="294"/>
      <c r="P42" s="179"/>
      <c r="Q42" s="293">
        <v>-7500</v>
      </c>
      <c r="R42" s="294"/>
      <c r="S42" s="225"/>
      <c r="T42" s="299">
        <f t="shared" si="3"/>
        <v>0</v>
      </c>
      <c r="U42" s="294"/>
      <c r="V42" s="179"/>
      <c r="W42" s="559">
        <f t="shared" si="1"/>
        <v>42</v>
      </c>
      <c r="X42" s="524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</row>
    <row r="43" spans="1:58" s="70" customFormat="1" ht="12">
      <c r="A43" s="559">
        <f t="shared" si="0"/>
        <v>43</v>
      </c>
      <c r="B43" s="93"/>
      <c r="C43" s="88"/>
      <c r="D43" s="153"/>
      <c r="E43" s="295"/>
      <c r="F43" s="289"/>
      <c r="G43" s="290"/>
      <c r="H43" s="291"/>
      <c r="I43" s="292"/>
      <c r="J43" s="42"/>
      <c r="K43" s="291"/>
      <c r="L43" s="292"/>
      <c r="M43" s="42"/>
      <c r="N43" s="293"/>
      <c r="O43" s="294"/>
      <c r="P43" s="179"/>
      <c r="Q43" s="293"/>
      <c r="R43" s="294"/>
      <c r="S43" s="225"/>
      <c r="T43" s="293"/>
      <c r="U43" s="294"/>
      <c r="V43" s="179"/>
      <c r="W43" s="559">
        <f t="shared" si="1"/>
        <v>43</v>
      </c>
      <c r="X43" s="524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</row>
    <row r="44" spans="1:58" s="70" customFormat="1" ht="12">
      <c r="A44" s="559">
        <f t="shared" si="0"/>
        <v>44</v>
      </c>
      <c r="B44" s="89" t="s">
        <v>89</v>
      </c>
      <c r="C44" s="88"/>
      <c r="D44" s="153"/>
      <c r="E44" s="295"/>
      <c r="F44" s="372">
        <f>SUM(E45:E47)</f>
        <v>1500</v>
      </c>
      <c r="G44" s="297"/>
      <c r="H44" s="291"/>
      <c r="I44" s="188">
        <f>SUM(H45:H47)</f>
        <v>2387</v>
      </c>
      <c r="J44" s="42"/>
      <c r="K44" s="291"/>
      <c r="L44" s="188">
        <f>SUM(K45:K47)</f>
        <v>2387</v>
      </c>
      <c r="M44" s="42"/>
      <c r="N44" s="293"/>
      <c r="O44" s="296">
        <f>SUM(N45:N47)</f>
        <v>2500</v>
      </c>
      <c r="P44" s="179"/>
      <c r="Q44" s="293"/>
      <c r="R44" s="296">
        <f>SUM(Q45:Q47)</f>
        <v>0</v>
      </c>
      <c r="S44" s="225"/>
      <c r="T44" s="293"/>
      <c r="U44" s="296">
        <f>SUM(T45:T47)</f>
        <v>2500</v>
      </c>
      <c r="V44" s="179"/>
      <c r="W44" s="559">
        <f t="shared" si="1"/>
        <v>44</v>
      </c>
      <c r="X44" s="524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</row>
    <row r="45" spans="1:58" s="70" customFormat="1" ht="12">
      <c r="A45" s="559">
        <f t="shared" si="0"/>
        <v>45</v>
      </c>
      <c r="B45" s="93"/>
      <c r="C45" s="88" t="s">
        <v>53</v>
      </c>
      <c r="D45" s="153"/>
      <c r="E45" s="295"/>
      <c r="F45" s="289"/>
      <c r="G45" s="290"/>
      <c r="H45" s="291">
        <v>0</v>
      </c>
      <c r="I45" s="292"/>
      <c r="J45" s="42"/>
      <c r="K45" s="291">
        <v>0</v>
      </c>
      <c r="L45" s="292"/>
      <c r="M45" s="42"/>
      <c r="N45" s="293">
        <v>0</v>
      </c>
      <c r="O45" s="294"/>
      <c r="P45" s="179"/>
      <c r="Q45" s="293"/>
      <c r="R45" s="294"/>
      <c r="S45" s="225"/>
      <c r="T45" s="293">
        <f>+N45+Q45</f>
        <v>0</v>
      </c>
      <c r="U45" s="294"/>
      <c r="V45" s="179"/>
      <c r="W45" s="559">
        <f t="shared" si="1"/>
        <v>45</v>
      </c>
      <c r="X45" s="524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</row>
    <row r="46" spans="1:58" s="70" customFormat="1" ht="12">
      <c r="A46" s="559">
        <f t="shared" si="0"/>
        <v>46</v>
      </c>
      <c r="B46" s="93"/>
      <c r="C46" s="88" t="s">
        <v>54</v>
      </c>
      <c r="D46" s="153"/>
      <c r="E46" s="503">
        <v>1500</v>
      </c>
      <c r="F46" s="289"/>
      <c r="G46" s="290"/>
      <c r="H46" s="291">
        <f>+'[2]ACT 2019'!M47</f>
        <v>2387</v>
      </c>
      <c r="I46" s="292"/>
      <c r="J46" s="42"/>
      <c r="K46" s="291">
        <f>+'[2]ACT 2019'!P47</f>
        <v>2387</v>
      </c>
      <c r="L46" s="292"/>
      <c r="M46" s="42"/>
      <c r="N46" s="293">
        <v>2500</v>
      </c>
      <c r="O46" s="294"/>
      <c r="P46" s="179"/>
      <c r="Q46" s="293"/>
      <c r="R46" s="294"/>
      <c r="S46" s="225"/>
      <c r="T46" s="293">
        <f>+N46+Q46</f>
        <v>2500</v>
      </c>
      <c r="U46" s="294"/>
      <c r="V46" s="179"/>
      <c r="W46" s="559">
        <f t="shared" si="1"/>
        <v>46</v>
      </c>
      <c r="X46" s="524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</row>
    <row r="47" spans="1:58" s="70" customFormat="1" ht="12">
      <c r="A47" s="559">
        <f t="shared" si="0"/>
        <v>47</v>
      </c>
      <c r="B47" s="93"/>
      <c r="C47" s="88"/>
      <c r="D47" s="153"/>
      <c r="E47" s="295"/>
      <c r="F47" s="289"/>
      <c r="G47" s="290"/>
      <c r="H47" s="291"/>
      <c r="I47" s="292"/>
      <c r="J47" s="42"/>
      <c r="K47" s="291"/>
      <c r="L47" s="292"/>
      <c r="M47" s="42"/>
      <c r="N47" s="293"/>
      <c r="O47" s="294"/>
      <c r="P47" s="179"/>
      <c r="Q47" s="293"/>
      <c r="R47" s="294"/>
      <c r="S47" s="225"/>
      <c r="T47" s="293"/>
      <c r="U47" s="294"/>
      <c r="V47" s="179"/>
      <c r="W47" s="559">
        <f t="shared" si="1"/>
        <v>47</v>
      </c>
      <c r="X47" s="524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</row>
    <row r="48" spans="1:58" s="70" customFormat="1" ht="12">
      <c r="A48" s="559">
        <f t="shared" si="0"/>
        <v>48</v>
      </c>
      <c r="B48" s="93"/>
      <c r="C48" s="88"/>
      <c r="D48" s="153"/>
      <c r="E48" s="295"/>
      <c r="F48" s="289"/>
      <c r="G48" s="290"/>
      <c r="H48" s="291"/>
      <c r="I48" s="292"/>
      <c r="J48" s="42"/>
      <c r="K48" s="291"/>
      <c r="L48" s="292"/>
      <c r="M48" s="42"/>
      <c r="N48" s="293"/>
      <c r="O48" s="294"/>
      <c r="P48" s="179"/>
      <c r="Q48" s="293"/>
      <c r="R48" s="294"/>
      <c r="S48" s="225"/>
      <c r="T48" s="293"/>
      <c r="U48" s="294"/>
      <c r="V48" s="179"/>
      <c r="W48" s="559">
        <f t="shared" si="1"/>
        <v>48</v>
      </c>
      <c r="X48" s="524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</row>
    <row r="49" spans="1:58" s="70" customFormat="1" ht="12">
      <c r="A49" s="559">
        <f t="shared" si="0"/>
        <v>49</v>
      </c>
      <c r="B49" s="93" t="s">
        <v>55</v>
      </c>
      <c r="C49" s="88"/>
      <c r="D49" s="153"/>
      <c r="E49" s="295"/>
      <c r="F49" s="372">
        <f>SUM(E50:E60)</f>
        <v>44950</v>
      </c>
      <c r="G49" s="297"/>
      <c r="H49" s="291"/>
      <c r="I49" s="188">
        <f>SUM(H50:H60)</f>
        <v>40899.25</v>
      </c>
      <c r="J49" s="42"/>
      <c r="K49" s="291"/>
      <c r="L49" s="188">
        <f>SUM(K50:K61)</f>
        <v>44085</v>
      </c>
      <c r="M49" s="42"/>
      <c r="N49" s="293"/>
      <c r="O49" s="188">
        <f>SUM(N50:N61)</f>
        <v>44050</v>
      </c>
      <c r="P49" s="179"/>
      <c r="Q49" s="293"/>
      <c r="R49" s="296">
        <f>SUM(Q50:Q60)</f>
        <v>-10000</v>
      </c>
      <c r="S49" s="225"/>
      <c r="T49" s="293"/>
      <c r="U49" s="296">
        <f>SUM(T50:T60)</f>
        <v>34050</v>
      </c>
      <c r="V49" s="179"/>
      <c r="W49" s="559">
        <f t="shared" si="1"/>
        <v>49</v>
      </c>
      <c r="X49" s="524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</row>
    <row r="50" spans="1:58" s="70" customFormat="1" ht="12">
      <c r="A50" s="559">
        <f t="shared" si="0"/>
        <v>50</v>
      </c>
      <c r="B50" s="121"/>
      <c r="C50" s="88" t="s">
        <v>56</v>
      </c>
      <c r="D50" s="153"/>
      <c r="E50" s="503">
        <v>4500</v>
      </c>
      <c r="F50" s="289"/>
      <c r="G50" s="290"/>
      <c r="H50" s="291">
        <f>+'[2]ACT 2019'!M51</f>
        <v>6968</v>
      </c>
      <c r="I50" s="292"/>
      <c r="J50" s="42"/>
      <c r="K50" s="291">
        <f>+'[2]ACT 2019'!P51</f>
        <v>7057</v>
      </c>
      <c r="L50" s="292"/>
      <c r="M50" s="42"/>
      <c r="N50" s="293">
        <v>7000</v>
      </c>
      <c r="O50" s="294"/>
      <c r="P50" s="179"/>
      <c r="Q50" s="293">
        <v>-3500</v>
      </c>
      <c r="R50" s="294"/>
      <c r="S50" s="225"/>
      <c r="T50" s="293">
        <f>+N50+Q50</f>
        <v>3500</v>
      </c>
      <c r="U50" s="294"/>
      <c r="V50" s="179"/>
      <c r="W50" s="559">
        <f t="shared" si="1"/>
        <v>50</v>
      </c>
      <c r="X50" s="524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</row>
    <row r="51" spans="1:58" s="70" customFormat="1" ht="12">
      <c r="A51" s="559">
        <f t="shared" si="0"/>
        <v>51</v>
      </c>
      <c r="B51" s="121"/>
      <c r="C51" s="88" t="s">
        <v>57</v>
      </c>
      <c r="D51" s="153"/>
      <c r="E51" s="503">
        <v>3000</v>
      </c>
      <c r="F51" s="289"/>
      <c r="G51" s="290"/>
      <c r="H51" s="291">
        <f>+'[2]ACT 2019'!M52</f>
        <v>1835.74</v>
      </c>
      <c r="I51" s="292"/>
      <c r="J51" s="42"/>
      <c r="K51" s="291">
        <f>+'[2]ACT 2019'!P52</f>
        <v>239</v>
      </c>
      <c r="L51" s="292"/>
      <c r="M51" s="42"/>
      <c r="N51" s="293">
        <v>2500</v>
      </c>
      <c r="O51" s="294"/>
      <c r="P51" s="179"/>
      <c r="Q51" s="293"/>
      <c r="R51" s="294"/>
      <c r="S51" s="225"/>
      <c r="T51" s="293">
        <f t="shared" ref="T51:T60" si="4">+N51+Q51</f>
        <v>2500</v>
      </c>
      <c r="U51" s="294"/>
      <c r="V51" s="179"/>
      <c r="W51" s="559">
        <f t="shared" si="1"/>
        <v>51</v>
      </c>
      <c r="X51" s="524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</row>
    <row r="52" spans="1:58" s="70" customFormat="1" ht="12">
      <c r="A52" s="559">
        <f t="shared" si="0"/>
        <v>52</v>
      </c>
      <c r="B52" s="93"/>
      <c r="C52" s="88" t="s">
        <v>58</v>
      </c>
      <c r="D52" s="153"/>
      <c r="E52" s="503">
        <v>2200</v>
      </c>
      <c r="F52" s="289"/>
      <c r="G52" s="290"/>
      <c r="H52" s="291">
        <f>+'[2]ACT 2019'!M53</f>
        <v>5493.83</v>
      </c>
      <c r="I52" s="292"/>
      <c r="J52" s="42"/>
      <c r="K52" s="291">
        <f>+'[2]ACT 2019'!P53</f>
        <v>5869</v>
      </c>
      <c r="L52" s="292"/>
      <c r="M52" s="42"/>
      <c r="N52" s="293">
        <v>3500</v>
      </c>
      <c r="O52" s="294"/>
      <c r="P52" s="179"/>
      <c r="Q52" s="293">
        <v>-2000</v>
      </c>
      <c r="R52" s="294"/>
      <c r="S52" s="225"/>
      <c r="T52" s="293">
        <f t="shared" si="4"/>
        <v>1500</v>
      </c>
      <c r="U52" s="294"/>
      <c r="V52" s="179"/>
      <c r="W52" s="559">
        <f t="shared" si="1"/>
        <v>52</v>
      </c>
      <c r="X52" s="524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</row>
    <row r="53" spans="1:58" s="70" customFormat="1" ht="12">
      <c r="A53" s="559">
        <f t="shared" si="0"/>
        <v>53</v>
      </c>
      <c r="B53" s="190"/>
      <c r="C53" s="221" t="s">
        <v>90</v>
      </c>
      <c r="D53" s="164"/>
      <c r="E53" s="503">
        <v>3500</v>
      </c>
      <c r="F53" s="289"/>
      <c r="G53" s="290"/>
      <c r="H53" s="291">
        <f>+'[2]ACT 2019'!M54</f>
        <v>1595.04</v>
      </c>
      <c r="I53" s="292"/>
      <c r="J53" s="42"/>
      <c r="K53" s="291">
        <f>+'[2]ACT 2019'!P54</f>
        <v>1611</v>
      </c>
      <c r="L53" s="292"/>
      <c r="M53" s="42"/>
      <c r="N53" s="293">
        <v>1700</v>
      </c>
      <c r="O53" s="294"/>
      <c r="P53" s="179"/>
      <c r="Q53" s="293"/>
      <c r="R53" s="294"/>
      <c r="S53" s="225"/>
      <c r="T53" s="293">
        <f t="shared" si="4"/>
        <v>1700</v>
      </c>
      <c r="U53" s="294"/>
      <c r="V53" s="179"/>
      <c r="W53" s="559">
        <f t="shared" si="1"/>
        <v>53</v>
      </c>
      <c r="X53" s="524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</row>
    <row r="54" spans="1:58" s="70" customFormat="1" ht="12">
      <c r="A54" s="559">
        <f t="shared" si="0"/>
        <v>54</v>
      </c>
      <c r="B54" s="93"/>
      <c r="C54" s="88" t="s">
        <v>104</v>
      </c>
      <c r="D54" s="153"/>
      <c r="E54" s="503">
        <v>16500</v>
      </c>
      <c r="F54" s="289"/>
      <c r="G54" s="290"/>
      <c r="H54" s="291">
        <f>+'[2]ACT 2019'!M55</f>
        <v>13911.26</v>
      </c>
      <c r="I54" s="292"/>
      <c r="J54" s="42"/>
      <c r="K54" s="291">
        <f>+'[2]ACT 2019'!P55</f>
        <v>16530</v>
      </c>
      <c r="L54" s="292"/>
      <c r="M54" s="42"/>
      <c r="N54" s="293">
        <v>18000</v>
      </c>
      <c r="O54" s="294"/>
      <c r="P54" s="179"/>
      <c r="Q54" s="293"/>
      <c r="R54" s="294"/>
      <c r="S54" s="225"/>
      <c r="T54" s="293">
        <f t="shared" si="4"/>
        <v>18000</v>
      </c>
      <c r="U54" s="294"/>
      <c r="V54" s="179"/>
      <c r="W54" s="559">
        <f t="shared" si="1"/>
        <v>54</v>
      </c>
      <c r="X54" s="524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</row>
    <row r="55" spans="1:58" s="70" customFormat="1" ht="12">
      <c r="A55" s="559">
        <f t="shared" si="0"/>
        <v>55</v>
      </c>
      <c r="B55" s="93"/>
      <c r="C55" s="88" t="s">
        <v>62</v>
      </c>
      <c r="D55" s="153"/>
      <c r="E55" s="503">
        <v>2000</v>
      </c>
      <c r="F55" s="289"/>
      <c r="G55" s="290"/>
      <c r="H55" s="291">
        <f>+'[2]ACT 2019'!M56</f>
        <v>2752</v>
      </c>
      <c r="I55" s="292"/>
      <c r="J55" s="42"/>
      <c r="K55" s="291">
        <f>+'[2]ACT 2019'!P56</f>
        <v>2751</v>
      </c>
      <c r="L55" s="292"/>
      <c r="M55" s="42"/>
      <c r="N55" s="293">
        <v>2500</v>
      </c>
      <c r="O55" s="294"/>
      <c r="P55" s="179"/>
      <c r="Q55" s="293"/>
      <c r="R55" s="294"/>
      <c r="S55" s="225"/>
      <c r="T55" s="293">
        <f t="shared" si="4"/>
        <v>2500</v>
      </c>
      <c r="U55" s="294"/>
      <c r="V55" s="179"/>
      <c r="W55" s="559">
        <f t="shared" si="1"/>
        <v>55</v>
      </c>
      <c r="X55" s="524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</row>
    <row r="56" spans="1:58" s="70" customFormat="1" ht="12">
      <c r="A56" s="559">
        <f t="shared" si="0"/>
        <v>56</v>
      </c>
      <c r="B56" s="93"/>
      <c r="C56" s="88" t="s">
        <v>63</v>
      </c>
      <c r="D56" s="153"/>
      <c r="E56" s="503">
        <v>500</v>
      </c>
      <c r="F56" s="289"/>
      <c r="G56" s="290"/>
      <c r="H56" s="291">
        <f>+'[2]ACT 2019'!M57</f>
        <v>1105.42</v>
      </c>
      <c r="I56" s="292"/>
      <c r="J56" s="42"/>
      <c r="K56" s="291">
        <f>+'[2]ACT 2019'!P57</f>
        <v>1210</v>
      </c>
      <c r="L56" s="292"/>
      <c r="M56" s="42"/>
      <c r="N56" s="293">
        <v>500</v>
      </c>
      <c r="O56" s="294"/>
      <c r="P56" s="179"/>
      <c r="Q56" s="293"/>
      <c r="R56" s="294"/>
      <c r="S56" s="225"/>
      <c r="T56" s="293">
        <f t="shared" si="4"/>
        <v>500</v>
      </c>
      <c r="U56" s="294"/>
      <c r="V56" s="179"/>
      <c r="W56" s="559">
        <f t="shared" si="1"/>
        <v>56</v>
      </c>
      <c r="X56" s="524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</row>
    <row r="57" spans="1:58" s="70" customFormat="1" ht="12">
      <c r="A57" s="559">
        <f t="shared" si="0"/>
        <v>57</v>
      </c>
      <c r="B57" s="93"/>
      <c r="C57" s="88" t="s">
        <v>64</v>
      </c>
      <c r="D57" s="153"/>
      <c r="E57" s="503">
        <v>500</v>
      </c>
      <c r="F57" s="289"/>
      <c r="G57" s="290"/>
      <c r="H57" s="291">
        <f>+'[2]ACT 2019'!M58</f>
        <v>817.34</v>
      </c>
      <c r="I57" s="292"/>
      <c r="J57" s="42"/>
      <c r="K57" s="291">
        <f>+'[2]ACT 2019'!P58</f>
        <v>877</v>
      </c>
      <c r="L57" s="292"/>
      <c r="M57" s="42"/>
      <c r="N57" s="293">
        <v>850</v>
      </c>
      <c r="O57" s="294"/>
      <c r="P57" s="179"/>
      <c r="Q57" s="293"/>
      <c r="R57" s="294"/>
      <c r="S57" s="225"/>
      <c r="T57" s="293">
        <f t="shared" si="4"/>
        <v>850</v>
      </c>
      <c r="U57" s="294"/>
      <c r="V57" s="179"/>
      <c r="W57" s="559">
        <f t="shared" si="1"/>
        <v>57</v>
      </c>
      <c r="X57" s="524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</row>
    <row r="58" spans="1:58" s="70" customFormat="1" ht="12">
      <c r="A58" s="559">
        <f t="shared" si="0"/>
        <v>58</v>
      </c>
      <c r="B58" s="190"/>
      <c r="C58" s="221" t="s">
        <v>65</v>
      </c>
      <c r="D58" s="164"/>
      <c r="E58" s="503">
        <v>5500</v>
      </c>
      <c r="F58" s="289"/>
      <c r="G58" s="290"/>
      <c r="H58" s="291">
        <f>+'[2]ACT 2019'!M59</f>
        <v>4287.96</v>
      </c>
      <c r="I58" s="292"/>
      <c r="J58" s="42"/>
      <c r="K58" s="291">
        <f>+'[2]ACT 2019'!P59</f>
        <v>4168</v>
      </c>
      <c r="L58" s="292"/>
      <c r="M58" s="42"/>
      <c r="N58" s="293">
        <v>5000</v>
      </c>
      <c r="O58" s="294"/>
      <c r="P58" s="179"/>
      <c r="Q58" s="293">
        <v>-3000</v>
      </c>
      <c r="R58" s="294"/>
      <c r="S58" s="225"/>
      <c r="T58" s="293">
        <f t="shared" si="4"/>
        <v>2000</v>
      </c>
      <c r="U58" s="294"/>
      <c r="V58" s="179"/>
      <c r="W58" s="559">
        <f t="shared" si="1"/>
        <v>58</v>
      </c>
      <c r="X58" s="524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</row>
    <row r="59" spans="1:58" s="70" customFormat="1" ht="12">
      <c r="A59" s="559">
        <f t="shared" si="0"/>
        <v>59</v>
      </c>
      <c r="B59" s="93"/>
      <c r="C59" s="88" t="s">
        <v>41</v>
      </c>
      <c r="D59" s="153"/>
      <c r="E59" s="503">
        <v>750</v>
      </c>
      <c r="F59" s="289"/>
      <c r="G59" s="290"/>
      <c r="H59" s="291">
        <f>+'[2]ACT 2019'!M60</f>
        <v>330.65999999999985</v>
      </c>
      <c r="I59" s="292"/>
      <c r="J59" s="42"/>
      <c r="K59" s="291">
        <f>+'[2]ACT 2019'!P60</f>
        <v>2051</v>
      </c>
      <c r="L59" s="292"/>
      <c r="M59" s="42"/>
      <c r="N59" s="293">
        <v>500</v>
      </c>
      <c r="O59" s="294"/>
      <c r="P59" s="179"/>
      <c r="Q59" s="293"/>
      <c r="R59" s="294"/>
      <c r="S59" s="225"/>
      <c r="T59" s="293">
        <f t="shared" si="4"/>
        <v>500</v>
      </c>
      <c r="U59" s="294"/>
      <c r="V59" s="179"/>
      <c r="W59" s="559">
        <f t="shared" si="1"/>
        <v>59</v>
      </c>
      <c r="X59" s="524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</row>
    <row r="60" spans="1:58" s="70" customFormat="1" ht="12">
      <c r="A60" s="559">
        <f t="shared" si="0"/>
        <v>60</v>
      </c>
      <c r="B60" s="93"/>
      <c r="C60" s="221" t="s">
        <v>101</v>
      </c>
      <c r="D60" s="153"/>
      <c r="E60" s="503">
        <v>6000</v>
      </c>
      <c r="F60" s="289"/>
      <c r="G60" s="290"/>
      <c r="H60" s="291">
        <f>+'[2]ACT 2019'!M61</f>
        <v>1802</v>
      </c>
      <c r="I60" s="292"/>
      <c r="J60" s="42"/>
      <c r="K60" s="291">
        <f>+'[2]ACT 2019'!P61</f>
        <v>1088</v>
      </c>
      <c r="L60" s="292"/>
      <c r="M60" s="42"/>
      <c r="N60" s="293">
        <v>2000</v>
      </c>
      <c r="O60" s="294"/>
      <c r="P60" s="179"/>
      <c r="Q60" s="293">
        <v>-1500</v>
      </c>
      <c r="R60" s="294"/>
      <c r="S60" s="225"/>
      <c r="T60" s="293">
        <f t="shared" si="4"/>
        <v>500</v>
      </c>
      <c r="U60" s="294"/>
      <c r="V60" s="179"/>
      <c r="W60" s="559">
        <f t="shared" si="1"/>
        <v>60</v>
      </c>
      <c r="X60" s="524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</row>
    <row r="61" spans="1:58" s="70" customFormat="1" ht="12">
      <c r="A61" s="559">
        <f t="shared" si="0"/>
        <v>61</v>
      </c>
      <c r="B61" s="93"/>
      <c r="C61" s="221" t="s">
        <v>146</v>
      </c>
      <c r="D61" s="153"/>
      <c r="E61" s="295"/>
      <c r="F61" s="289"/>
      <c r="G61" s="290"/>
      <c r="H61" s="291">
        <f>+'[2]ACT 2019'!M62</f>
        <v>0</v>
      </c>
      <c r="I61" s="292"/>
      <c r="J61" s="42"/>
      <c r="K61" s="291">
        <f>+'[2]ACT 2019'!P62</f>
        <v>634</v>
      </c>
      <c r="L61" s="292"/>
      <c r="M61" s="42"/>
      <c r="N61" s="293"/>
      <c r="O61" s="294"/>
      <c r="P61" s="179"/>
      <c r="Q61" s="293"/>
      <c r="R61" s="294"/>
      <c r="S61" s="225"/>
      <c r="T61" s="293"/>
      <c r="U61" s="294"/>
      <c r="V61" s="179"/>
      <c r="W61" s="559">
        <f t="shared" si="1"/>
        <v>61</v>
      </c>
      <c r="X61" s="524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</row>
    <row r="62" spans="1:58" s="70" customFormat="1" ht="12">
      <c r="A62" s="559">
        <f t="shared" si="0"/>
        <v>62</v>
      </c>
      <c r="B62" s="190" t="s">
        <v>66</v>
      </c>
      <c r="C62" s="221"/>
      <c r="D62" s="164"/>
      <c r="E62" s="295"/>
      <c r="F62" s="372">
        <f>SUM(E63:E69)</f>
        <v>198813</v>
      </c>
      <c r="G62" s="297"/>
      <c r="H62" s="291"/>
      <c r="I62" s="188">
        <f>SUM(H63:H69)</f>
        <v>203298.4</v>
      </c>
      <c r="J62" s="42"/>
      <c r="K62" s="291"/>
      <c r="L62" s="188">
        <f>SUM(K63:K69)</f>
        <v>203549</v>
      </c>
      <c r="M62" s="42"/>
      <c r="N62" s="293"/>
      <c r="O62" s="296">
        <f>SUM(N63:N69)</f>
        <v>200006</v>
      </c>
      <c r="P62" s="179"/>
      <c r="Q62" s="293"/>
      <c r="R62" s="296">
        <f>SUM(Q63:Q69)</f>
        <v>-30118</v>
      </c>
      <c r="S62" s="225"/>
      <c r="T62" s="293"/>
      <c r="U62" s="296">
        <f>SUM(T63:T69)</f>
        <v>169888</v>
      </c>
      <c r="V62" s="179"/>
      <c r="W62" s="559">
        <f t="shared" si="1"/>
        <v>62</v>
      </c>
      <c r="X62" s="524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</row>
    <row r="63" spans="1:58" s="70" customFormat="1" ht="12">
      <c r="A63" s="559">
        <f t="shared" si="0"/>
        <v>63</v>
      </c>
      <c r="B63" s="93"/>
      <c r="C63" s="221" t="s">
        <v>67</v>
      </c>
      <c r="D63" s="164"/>
      <c r="E63" s="504">
        <v>66378</v>
      </c>
      <c r="F63" s="289"/>
      <c r="G63" s="290"/>
      <c r="H63" s="291">
        <f>+'[2]ACT 2019'!M64</f>
        <v>66378</v>
      </c>
      <c r="I63" s="292"/>
      <c r="J63" s="42"/>
      <c r="K63" s="291">
        <f>+'[2]ACT 2019'!P64</f>
        <v>66378</v>
      </c>
      <c r="L63" s="292"/>
      <c r="M63" s="42"/>
      <c r="N63" s="318">
        <v>67706</v>
      </c>
      <c r="O63" s="294"/>
      <c r="P63" s="179"/>
      <c r="Q63" s="318">
        <v>-47959</v>
      </c>
      <c r="R63" s="294"/>
      <c r="S63" s="225"/>
      <c r="T63" s="318">
        <f t="shared" ref="T63:T68" si="5">+N63+Q63</f>
        <v>19747</v>
      </c>
      <c r="U63" s="294"/>
      <c r="V63" s="179"/>
      <c r="W63" s="559">
        <f t="shared" si="1"/>
        <v>63</v>
      </c>
      <c r="X63" s="524" t="s">
        <v>168</v>
      </c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</row>
    <row r="64" spans="1:58" s="70" customFormat="1" ht="12">
      <c r="A64" s="559">
        <f t="shared" si="0"/>
        <v>64</v>
      </c>
      <c r="B64" s="93"/>
      <c r="C64" s="221" t="s">
        <v>105</v>
      </c>
      <c r="D64" s="164"/>
      <c r="E64" s="503">
        <v>42780</v>
      </c>
      <c r="F64" s="289"/>
      <c r="G64" s="290"/>
      <c r="H64" s="291">
        <f>+'[2]ACT 2019'!M65</f>
        <v>16866.68</v>
      </c>
      <c r="I64" s="292"/>
      <c r="J64" s="42"/>
      <c r="K64" s="291">
        <f>+'[2]ACT 2019'!P65</f>
        <v>16867</v>
      </c>
      <c r="L64" s="292"/>
      <c r="M64" s="42"/>
      <c r="N64" s="318">
        <v>40800</v>
      </c>
      <c r="O64" s="294"/>
      <c r="P64" s="179"/>
      <c r="Q64" s="318">
        <v>0</v>
      </c>
      <c r="R64" s="294"/>
      <c r="S64" s="225"/>
      <c r="T64" s="318">
        <f t="shared" si="5"/>
        <v>40800</v>
      </c>
      <c r="U64" s="294"/>
      <c r="V64" s="179"/>
      <c r="W64" s="559">
        <f t="shared" si="1"/>
        <v>64</v>
      </c>
      <c r="X64" s="524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</row>
    <row r="65" spans="1:58" s="70" customFormat="1" ht="12">
      <c r="A65" s="559">
        <f t="shared" si="0"/>
        <v>65</v>
      </c>
      <c r="B65" s="93"/>
      <c r="C65" s="221" t="s">
        <v>169</v>
      </c>
      <c r="D65" s="164"/>
      <c r="E65" s="503">
        <v>62255</v>
      </c>
      <c r="F65" s="289"/>
      <c r="G65" s="290"/>
      <c r="H65" s="291">
        <f>+'[2]ACT 2019'!M66</f>
        <v>91622</v>
      </c>
      <c r="I65" s="292"/>
      <c r="J65" s="300"/>
      <c r="K65" s="291">
        <f>+'[2]ACT 2019'!P66</f>
        <v>91624</v>
      </c>
      <c r="L65" s="292"/>
      <c r="M65" s="300"/>
      <c r="N65" s="318">
        <v>63500</v>
      </c>
      <c r="O65" s="294"/>
      <c r="P65" s="179"/>
      <c r="Q65" s="523">
        <v>7841</v>
      </c>
      <c r="R65" s="294"/>
      <c r="S65" s="225"/>
      <c r="T65" s="318">
        <f t="shared" si="5"/>
        <v>71341</v>
      </c>
      <c r="U65" s="294"/>
      <c r="V65" s="179"/>
      <c r="W65" s="559">
        <f t="shared" si="1"/>
        <v>65</v>
      </c>
      <c r="X65" s="524" t="s">
        <v>157</v>
      </c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</row>
    <row r="66" spans="1:58" s="201" customFormat="1" ht="12">
      <c r="A66" s="559">
        <f t="shared" si="0"/>
        <v>66</v>
      </c>
      <c r="B66" s="190"/>
      <c r="C66" s="221" t="s">
        <v>70</v>
      </c>
      <c r="D66" s="164"/>
      <c r="E66" s="503">
        <v>8500</v>
      </c>
      <c r="F66" s="289"/>
      <c r="G66" s="290"/>
      <c r="H66" s="291">
        <f>+'[2]ACT 2019'!M67</f>
        <v>11549</v>
      </c>
      <c r="I66" s="292"/>
      <c r="J66" s="300"/>
      <c r="K66" s="291">
        <f>+'[2]ACT 2019'!P67</f>
        <v>11614</v>
      </c>
      <c r="L66" s="292"/>
      <c r="M66" s="300"/>
      <c r="N66" s="318">
        <v>10000</v>
      </c>
      <c r="O66" s="294"/>
      <c r="P66" s="179"/>
      <c r="Q66" s="318">
        <v>10000</v>
      </c>
      <c r="R66" s="294"/>
      <c r="S66" s="225"/>
      <c r="T66" s="318">
        <f t="shared" si="5"/>
        <v>20000</v>
      </c>
      <c r="U66" s="294"/>
      <c r="V66" s="179"/>
      <c r="W66" s="559">
        <f t="shared" si="1"/>
        <v>66</v>
      </c>
      <c r="X66" s="524" t="s">
        <v>155</v>
      </c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</row>
    <row r="67" spans="1:58" s="70" customFormat="1" ht="12">
      <c r="A67" s="559">
        <f t="shared" ref="A67:A82" si="6">1+A66</f>
        <v>67</v>
      </c>
      <c r="B67" s="93"/>
      <c r="C67" s="88" t="s">
        <v>71</v>
      </c>
      <c r="D67" s="153"/>
      <c r="E67" s="503">
        <v>15400</v>
      </c>
      <c r="F67" s="289"/>
      <c r="G67" s="290"/>
      <c r="H67" s="291">
        <f>+'[2]ACT 2019'!M68</f>
        <v>14320</v>
      </c>
      <c r="I67" s="292"/>
      <c r="J67" s="300"/>
      <c r="K67" s="291">
        <f>+'[2]ACT 2019'!P68</f>
        <v>14548</v>
      </c>
      <c r="L67" s="292"/>
      <c r="M67" s="300"/>
      <c r="N67" s="318">
        <v>15000</v>
      </c>
      <c r="O67" s="294"/>
      <c r="P67" s="179"/>
      <c r="Q67" s="318"/>
      <c r="R67" s="294"/>
      <c r="S67" s="225"/>
      <c r="T67" s="318">
        <f t="shared" si="5"/>
        <v>15000</v>
      </c>
      <c r="U67" s="294"/>
      <c r="V67" s="179"/>
      <c r="W67" s="559">
        <f t="shared" si="1"/>
        <v>67</v>
      </c>
      <c r="X67" s="524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</row>
    <row r="68" spans="1:58" s="70" customFormat="1" ht="12">
      <c r="A68" s="559">
        <f t="shared" si="6"/>
        <v>68</v>
      </c>
      <c r="B68" s="89"/>
      <c r="C68" s="88" t="s">
        <v>72</v>
      </c>
      <c r="D68" s="153"/>
      <c r="E68" s="503">
        <v>3500</v>
      </c>
      <c r="F68" s="289"/>
      <c r="G68" s="290"/>
      <c r="H68" s="291">
        <f>+'[2]ACT 2019'!M69</f>
        <v>2562.7200000000003</v>
      </c>
      <c r="I68" s="292"/>
      <c r="J68" s="42"/>
      <c r="K68" s="291">
        <f>+'[2]ACT 2019'!P69</f>
        <v>2518</v>
      </c>
      <c r="L68" s="292"/>
      <c r="M68" s="42"/>
      <c r="N68" s="318">
        <v>3000</v>
      </c>
      <c r="O68" s="294"/>
      <c r="P68" s="179"/>
      <c r="Q68" s="318"/>
      <c r="R68" s="294"/>
      <c r="S68" s="225"/>
      <c r="T68" s="318">
        <f t="shared" si="5"/>
        <v>3000</v>
      </c>
      <c r="U68" s="294"/>
      <c r="V68" s="179"/>
      <c r="W68" s="559">
        <f t="shared" ref="W68:W82" si="7">+W67+1</f>
        <v>68</v>
      </c>
      <c r="X68" s="524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</row>
    <row r="69" spans="1:58" s="179" customFormat="1" ht="12">
      <c r="A69" s="559">
        <f t="shared" si="6"/>
        <v>69</v>
      </c>
      <c r="B69" s="319"/>
      <c r="C69" s="221" t="s">
        <v>147</v>
      </c>
      <c r="D69" s="164"/>
      <c r="E69" s="295"/>
      <c r="F69" s="289"/>
      <c r="G69" s="290"/>
      <c r="H69" s="304">
        <f>+'[1]EST 2019'!M74</f>
        <v>0</v>
      </c>
      <c r="I69" s="292"/>
      <c r="J69" s="300"/>
      <c r="K69" s="291">
        <f>+'[2]ACT 2019'!P70</f>
        <v>0</v>
      </c>
      <c r="L69" s="292"/>
      <c r="M69" s="300"/>
      <c r="N69" s="293"/>
      <c r="O69" s="294"/>
      <c r="Q69" s="522">
        <v>0</v>
      </c>
      <c r="R69" s="294"/>
      <c r="S69" s="225"/>
      <c r="T69" s="522">
        <v>0</v>
      </c>
      <c r="U69" s="294"/>
      <c r="W69" s="559">
        <f t="shared" si="7"/>
        <v>69</v>
      </c>
      <c r="X69" s="524" t="s">
        <v>157</v>
      </c>
    </row>
    <row r="70" spans="1:58" s="70" customFormat="1" ht="13" thickBot="1">
      <c r="A70" s="559">
        <f t="shared" si="6"/>
        <v>70</v>
      </c>
      <c r="B70" s="203"/>
      <c r="C70" s="88"/>
      <c r="D70" s="153"/>
      <c r="E70" s="295"/>
      <c r="F70" s="301"/>
      <c r="G70" s="290"/>
      <c r="H70" s="291"/>
      <c r="I70" s="302"/>
      <c r="J70" s="42"/>
      <c r="K70" s="291"/>
      <c r="L70" s="302"/>
      <c r="M70" s="42"/>
      <c r="N70" s="293"/>
      <c r="O70" s="303"/>
      <c r="P70" s="179"/>
      <c r="Q70" s="521"/>
      <c r="R70" s="294"/>
      <c r="S70" s="225"/>
      <c r="T70" s="521"/>
      <c r="U70" s="294"/>
      <c r="V70" s="179"/>
      <c r="W70" s="559">
        <f t="shared" si="7"/>
        <v>70</v>
      </c>
      <c r="X70" s="524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</row>
    <row r="71" spans="1:58" s="70" customFormat="1" ht="13" thickBot="1">
      <c r="A71" s="559">
        <f t="shared" si="6"/>
        <v>71</v>
      </c>
      <c r="B71" s="514" t="s">
        <v>102</v>
      </c>
      <c r="C71" s="321"/>
      <c r="D71" s="164"/>
      <c r="E71" s="306"/>
      <c r="F71" s="498">
        <f>SUM(F29,F44,F49,F62,F69)</f>
        <v>437263</v>
      </c>
      <c r="G71" s="80"/>
      <c r="H71" s="308"/>
      <c r="I71" s="498">
        <f>SUM(I29,I44,I49,I62,I69)</f>
        <v>432145.86</v>
      </c>
      <c r="J71" s="300"/>
      <c r="K71" s="308"/>
      <c r="L71" s="498">
        <f>SUM(L29,L44,L49,L62,L69)</f>
        <v>434343</v>
      </c>
      <c r="M71" s="300"/>
      <c r="N71" s="306"/>
      <c r="O71" s="498">
        <f>SUM(O29:O70)</f>
        <v>449556</v>
      </c>
      <c r="P71" s="495">
        <f>SUM(N29:N70)</f>
        <v>449556</v>
      </c>
      <c r="Q71" s="322"/>
      <c r="R71" s="498">
        <f>SUM(R29:R70)</f>
        <v>-190490</v>
      </c>
      <c r="S71" s="225"/>
      <c r="T71" s="322"/>
      <c r="U71" s="498">
        <f>SUM(U29:U70)</f>
        <v>259066</v>
      </c>
      <c r="V71" s="495">
        <f>SUM(T29:T70)</f>
        <v>259066</v>
      </c>
      <c r="W71" s="559">
        <f t="shared" si="7"/>
        <v>71</v>
      </c>
      <c r="X71" s="524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</row>
    <row r="72" spans="1:58" s="70" customFormat="1" ht="12">
      <c r="A72" s="559">
        <f t="shared" si="6"/>
        <v>72</v>
      </c>
      <c r="B72" s="323"/>
      <c r="C72" s="252"/>
      <c r="D72" s="164"/>
      <c r="E72" s="324"/>
      <c r="F72" s="301"/>
      <c r="G72" s="290"/>
      <c r="H72" s="325"/>
      <c r="I72" s="253"/>
      <c r="J72" s="300"/>
      <c r="K72" s="325"/>
      <c r="L72" s="253"/>
      <c r="M72" s="300"/>
      <c r="N72" s="326"/>
      <c r="O72" s="303"/>
      <c r="P72" s="179"/>
      <c r="Q72" s="326"/>
      <c r="R72" s="303"/>
      <c r="S72" s="225"/>
      <c r="T72" s="326"/>
      <c r="U72" s="303"/>
      <c r="V72" s="179"/>
      <c r="W72" s="559">
        <f t="shared" si="7"/>
        <v>72</v>
      </c>
      <c r="X72" s="524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</row>
    <row r="73" spans="1:58" s="70" customFormat="1" ht="12">
      <c r="A73" s="559">
        <f t="shared" si="6"/>
        <v>73</v>
      </c>
      <c r="B73" s="327" t="s">
        <v>142</v>
      </c>
      <c r="C73" s="206"/>
      <c r="D73" s="207"/>
      <c r="E73" s="328"/>
      <c r="F73" s="329">
        <f>+F26-F71</f>
        <v>10237</v>
      </c>
      <c r="G73" s="330"/>
      <c r="H73" s="331"/>
      <c r="I73" s="434">
        <f>+I26-I71</f>
        <v>-25732.859999999986</v>
      </c>
      <c r="J73" s="245"/>
      <c r="K73" s="331"/>
      <c r="L73" s="434">
        <f>+L26-L71</f>
        <v>-22603</v>
      </c>
      <c r="M73" s="245"/>
      <c r="N73" s="346"/>
      <c r="O73" s="329">
        <f>+O26-O71</f>
        <v>-27556</v>
      </c>
      <c r="P73" s="495">
        <f>+O5+O7+O12-O44-O49-O62-O29</f>
        <v>-27556</v>
      </c>
      <c r="Q73" s="332"/>
      <c r="R73" s="329">
        <f>+R26-R71</f>
        <v>-14017</v>
      </c>
      <c r="S73" s="225"/>
      <c r="T73" s="332"/>
      <c r="U73" s="329">
        <f>+U26-U71</f>
        <v>-41573</v>
      </c>
      <c r="V73" s="495">
        <f>+U5+U7+U12-U44-U49-U62-U29</f>
        <v>-41573</v>
      </c>
      <c r="W73" s="559">
        <f t="shared" si="7"/>
        <v>73</v>
      </c>
      <c r="X73" s="524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</row>
    <row r="74" spans="1:58" s="70" customFormat="1" ht="12">
      <c r="A74" s="559">
        <f t="shared" si="6"/>
        <v>74</v>
      </c>
      <c r="B74" s="513"/>
      <c r="C74" s="512" t="s">
        <v>139</v>
      </c>
      <c r="D74" s="207"/>
      <c r="E74" s="328"/>
      <c r="F74" s="351"/>
      <c r="G74" s="330"/>
      <c r="H74" s="331"/>
      <c r="I74" s="501">
        <v>-5000</v>
      </c>
      <c r="J74" s="245"/>
      <c r="K74" s="331"/>
      <c r="L74" s="501">
        <f>+'[2]ACT 2019'!Q75</f>
        <v>-5167</v>
      </c>
      <c r="M74" s="245"/>
      <c r="N74" s="346"/>
      <c r="O74" s="499">
        <f>-16000+5000</f>
        <v>-11000</v>
      </c>
      <c r="P74" s="495"/>
      <c r="Q74" s="332"/>
      <c r="R74" s="336"/>
      <c r="S74" s="225"/>
      <c r="T74" s="332"/>
      <c r="U74" s="499">
        <f>+O74+R74</f>
        <v>-11000</v>
      </c>
      <c r="V74" s="495"/>
      <c r="W74" s="559">
        <f t="shared" si="7"/>
        <v>74</v>
      </c>
      <c r="X74" s="524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</row>
    <row r="75" spans="1:58" s="70" customFormat="1" ht="12">
      <c r="A75" s="559">
        <f t="shared" si="6"/>
        <v>75</v>
      </c>
      <c r="B75" s="513"/>
      <c r="C75" s="512" t="s">
        <v>140</v>
      </c>
      <c r="D75" s="164"/>
      <c r="E75" s="328"/>
      <c r="F75" s="334"/>
      <c r="G75" s="311"/>
      <c r="H75" s="331"/>
      <c r="I75" s="335"/>
      <c r="J75" s="300"/>
      <c r="K75" s="331"/>
      <c r="L75" s="335"/>
      <c r="M75" s="300"/>
      <c r="N75" s="332"/>
      <c r="O75" s="496">
        <f>27000-2700</f>
        <v>24300</v>
      </c>
      <c r="P75" s="179"/>
      <c r="Q75" s="332"/>
      <c r="R75" s="353">
        <v>-24300</v>
      </c>
      <c r="S75" s="225"/>
      <c r="T75" s="332"/>
      <c r="U75" s="496">
        <f>+O75+R75</f>
        <v>0</v>
      </c>
      <c r="V75" s="179"/>
      <c r="W75" s="559">
        <f t="shared" si="7"/>
        <v>75</v>
      </c>
      <c r="X75" s="524" t="s">
        <v>156</v>
      </c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</row>
    <row r="76" spans="1:58" s="70" customFormat="1" ht="12">
      <c r="A76" s="559">
        <f t="shared" si="6"/>
        <v>76</v>
      </c>
      <c r="B76" s="509" t="s">
        <v>143</v>
      </c>
      <c r="C76" s="252"/>
      <c r="D76" s="164"/>
      <c r="E76" s="328"/>
      <c r="F76" s="505">
        <f>SUM(F73:F75)</f>
        <v>10237</v>
      </c>
      <c r="G76" s="311"/>
      <c r="H76" s="331"/>
      <c r="I76" s="505">
        <f>SUM(I73:I75)</f>
        <v>-30732.859999999986</v>
      </c>
      <c r="J76" s="300"/>
      <c r="K76" s="331"/>
      <c r="L76" s="505">
        <f>SUM(L73:L75)</f>
        <v>-27770</v>
      </c>
      <c r="M76" s="300"/>
      <c r="N76" s="332"/>
      <c r="O76" s="505">
        <f>SUM(O73:O75)</f>
        <v>-14256</v>
      </c>
      <c r="P76" s="179"/>
      <c r="Q76" s="332"/>
      <c r="R76" s="336"/>
      <c r="S76" s="225"/>
      <c r="T76" s="332"/>
      <c r="U76" s="505">
        <f>SUM(U73:U75)</f>
        <v>-52573</v>
      </c>
      <c r="V76" s="179"/>
      <c r="W76" s="559">
        <f t="shared" si="7"/>
        <v>76</v>
      </c>
      <c r="X76" s="524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</row>
    <row r="77" spans="1:58" s="70" customFormat="1" ht="13" thickBot="1">
      <c r="A77" s="559">
        <f t="shared" si="6"/>
        <v>77</v>
      </c>
      <c r="B77" s="333" t="s">
        <v>112</v>
      </c>
      <c r="C77" s="252"/>
      <c r="D77" s="164"/>
      <c r="E77" s="328"/>
      <c r="F77" s="337">
        <v>17000</v>
      </c>
      <c r="G77" s="338"/>
      <c r="H77" s="339"/>
      <c r="I77" s="254">
        <f>+'[2]ACT 2019'!N76</f>
        <v>91000</v>
      </c>
      <c r="J77" s="300"/>
      <c r="K77" s="339"/>
      <c r="L77" s="254">
        <f>+'[2]ACT 2019'!Q76</f>
        <v>105166</v>
      </c>
      <c r="M77" s="300"/>
      <c r="N77" s="332"/>
      <c r="O77" s="340">
        <v>17000</v>
      </c>
      <c r="P77" s="179"/>
      <c r="Q77" s="332"/>
      <c r="R77" s="340">
        <v>-67000</v>
      </c>
      <c r="S77" s="225"/>
      <c r="T77" s="332"/>
      <c r="U77" s="340">
        <f>+O77+R77</f>
        <v>-50000</v>
      </c>
      <c r="V77" s="179"/>
      <c r="W77" s="559">
        <f t="shared" si="7"/>
        <v>77</v>
      </c>
      <c r="X77" s="524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</row>
    <row r="78" spans="1:58" s="70" customFormat="1" ht="13" thickBot="1">
      <c r="A78" s="559">
        <f t="shared" si="6"/>
        <v>78</v>
      </c>
      <c r="B78" s="514" t="s">
        <v>144</v>
      </c>
      <c r="C78" s="515"/>
      <c r="D78" s="207"/>
      <c r="E78" s="342"/>
      <c r="F78" s="343">
        <f>+F76+F77</f>
        <v>27237</v>
      </c>
      <c r="G78" s="344"/>
      <c r="H78" s="339"/>
      <c r="I78" s="516">
        <f>+I76+I77</f>
        <v>60267.140000000014</v>
      </c>
      <c r="J78" s="245"/>
      <c r="K78" s="339"/>
      <c r="L78" s="516">
        <f>+L76+L77</f>
        <v>77396</v>
      </c>
      <c r="M78" s="245"/>
      <c r="N78" s="346"/>
      <c r="O78" s="516">
        <f>+O76+O77</f>
        <v>2744</v>
      </c>
      <c r="P78" s="179"/>
      <c r="Q78" s="346"/>
      <c r="R78" s="343">
        <f>SUM(R75:R77)</f>
        <v>-91300</v>
      </c>
      <c r="S78" s="225"/>
      <c r="T78" s="346"/>
      <c r="U78" s="516">
        <f>+U76+U77</f>
        <v>-102573</v>
      </c>
      <c r="V78" s="179"/>
      <c r="W78" s="559">
        <f t="shared" si="7"/>
        <v>78</v>
      </c>
      <c r="X78" s="524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</row>
    <row r="79" spans="1:58" s="70" customFormat="1" ht="13" thickTop="1">
      <c r="A79" s="559">
        <f t="shared" si="6"/>
        <v>79</v>
      </c>
      <c r="B79" s="208"/>
      <c r="C79" s="257"/>
      <c r="D79" s="207"/>
      <c r="E79" s="328"/>
      <c r="F79" s="347"/>
      <c r="G79" s="348"/>
      <c r="H79" s="352"/>
      <c r="I79" s="517"/>
      <c r="J79" s="245"/>
      <c r="K79" s="352"/>
      <c r="L79" s="517"/>
      <c r="M79" s="245"/>
      <c r="N79" s="255"/>
      <c r="O79" s="349"/>
      <c r="P79" s="179"/>
      <c r="Q79" s="255"/>
      <c r="R79" s="349"/>
      <c r="S79" s="225"/>
      <c r="T79" s="255"/>
      <c r="U79" s="349"/>
      <c r="V79" s="179"/>
      <c r="W79" s="559">
        <f t="shared" si="7"/>
        <v>79</v>
      </c>
      <c r="X79" s="524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</row>
    <row r="80" spans="1:58" s="70" customFormat="1" ht="13" thickBot="1">
      <c r="A80" s="559">
        <f t="shared" si="6"/>
        <v>80</v>
      </c>
      <c r="B80" s="519" t="s">
        <v>80</v>
      </c>
      <c r="C80" s="520"/>
      <c r="D80" s="164"/>
      <c r="E80" s="342"/>
      <c r="F80" s="351"/>
      <c r="G80" s="330"/>
      <c r="H80" s="352"/>
      <c r="I80" s="518"/>
      <c r="J80" s="245"/>
      <c r="K80" s="352"/>
      <c r="L80" s="518"/>
      <c r="M80" s="245"/>
      <c r="N80" s="346"/>
      <c r="O80" s="507">
        <v>16000</v>
      </c>
      <c r="P80" s="179"/>
      <c r="Q80" s="346"/>
      <c r="R80" s="490">
        <v>34000</v>
      </c>
      <c r="S80" s="225"/>
      <c r="T80" s="346"/>
      <c r="U80" s="507">
        <f>+O80+R80</f>
        <v>50000</v>
      </c>
      <c r="V80" s="179"/>
      <c r="W80" s="559">
        <f t="shared" si="7"/>
        <v>80</v>
      </c>
      <c r="X80" s="524" t="s">
        <v>182</v>
      </c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</row>
    <row r="81" spans="1:58" s="70" customFormat="1" thickTop="1" thickBot="1">
      <c r="A81" s="559">
        <f t="shared" si="6"/>
        <v>81</v>
      </c>
      <c r="B81" s="510"/>
      <c r="C81" s="511"/>
      <c r="D81" s="166"/>
      <c r="E81" s="342"/>
      <c r="F81" s="355"/>
      <c r="G81" s="311"/>
      <c r="H81" s="352"/>
      <c r="I81" s="356"/>
      <c r="J81" s="42"/>
      <c r="K81" s="352"/>
      <c r="L81" s="356"/>
      <c r="M81" s="42"/>
      <c r="N81" s="354"/>
      <c r="O81" s="357"/>
      <c r="P81" s="179"/>
      <c r="Q81" s="354"/>
      <c r="R81" s="251"/>
      <c r="S81" s="225"/>
      <c r="T81" s="354"/>
      <c r="U81" s="251"/>
      <c r="V81" s="179"/>
      <c r="W81" s="559">
        <f t="shared" si="7"/>
        <v>81</v>
      </c>
      <c r="X81" s="524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</row>
    <row r="82" spans="1:58" s="70" customFormat="1" ht="13" thickBot="1">
      <c r="A82" s="559">
        <f t="shared" si="6"/>
        <v>82</v>
      </c>
      <c r="B82" s="358" t="s">
        <v>81</v>
      </c>
      <c r="C82" s="260" t="s">
        <v>141</v>
      </c>
      <c r="D82" s="166"/>
      <c r="E82" s="359"/>
      <c r="F82" s="360"/>
      <c r="G82" s="361"/>
      <c r="H82" s="362"/>
      <c r="I82" s="363"/>
      <c r="J82" s="42"/>
      <c r="K82" s="362"/>
      <c r="L82" s="363"/>
      <c r="M82" s="42"/>
      <c r="N82" s="364"/>
      <c r="O82" s="365"/>
      <c r="P82" s="179"/>
      <c r="Q82" s="364"/>
      <c r="R82" s="557"/>
      <c r="S82" s="225"/>
      <c r="T82" s="364"/>
      <c r="U82" s="557"/>
      <c r="V82" s="179"/>
      <c r="W82" s="559">
        <f t="shared" si="7"/>
        <v>82</v>
      </c>
      <c r="X82" s="524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</row>
    <row r="83" spans="1:58" s="70" customFormat="1" ht="12">
      <c r="A83" s="35"/>
      <c r="B83" s="69"/>
      <c r="C83" s="166"/>
      <c r="D83" s="166"/>
      <c r="E83" s="64"/>
      <c r="F83" s="366"/>
      <c r="G83" s="311"/>
      <c r="H83" s="218"/>
      <c r="I83" s="218"/>
      <c r="J83" s="42"/>
      <c r="K83" s="218"/>
      <c r="L83" s="218"/>
      <c r="M83" s="42"/>
      <c r="N83" s="64"/>
      <c r="O83" s="366"/>
      <c r="P83" s="179"/>
      <c r="Q83" s="64"/>
      <c r="R83" s="366"/>
      <c r="S83" s="225"/>
      <c r="T83" s="64"/>
      <c r="U83" s="366"/>
      <c r="V83" s="179"/>
      <c r="W83" s="35"/>
      <c r="X83" s="524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</row>
    <row r="84" spans="1:58" s="70" customFormat="1" ht="12">
      <c r="A84" s="35"/>
      <c r="B84" s="69"/>
      <c r="C84" s="166"/>
      <c r="D84" s="166"/>
      <c r="E84" s="367"/>
      <c r="F84" s="162"/>
      <c r="G84" s="311"/>
      <c r="H84" s="219"/>
      <c r="I84" s="219"/>
      <c r="J84" s="42"/>
      <c r="K84" s="219"/>
      <c r="L84" s="219"/>
      <c r="M84" s="42"/>
      <c r="N84" s="367"/>
      <c r="O84" s="162"/>
      <c r="P84" s="179"/>
      <c r="Q84" s="367"/>
      <c r="R84" s="162"/>
      <c r="S84" s="225"/>
      <c r="T84" s="367"/>
      <c r="U84" s="162"/>
      <c r="V84" s="179"/>
      <c r="W84" s="35"/>
      <c r="X84" s="524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</row>
    <row r="85" spans="1:58" s="70" customFormat="1">
      <c r="A85" s="35"/>
      <c r="B85" s="69"/>
      <c r="C85" s="166"/>
      <c r="D85" s="166"/>
      <c r="E85" s="64"/>
      <c r="F85" s="366"/>
      <c r="G85" s="311"/>
      <c r="H85" s="218"/>
      <c r="I85" s="218"/>
      <c r="J85" s="42"/>
      <c r="K85" s="218"/>
      <c r="L85" s="218"/>
      <c r="M85" s="42"/>
      <c r="N85" s="64"/>
      <c r="O85" s="366"/>
      <c r="P85" s="179"/>
      <c r="Q85" s="368"/>
      <c r="R85" s="162"/>
      <c r="S85" s="469"/>
      <c r="T85" s="368"/>
      <c r="U85" s="162"/>
      <c r="V85" s="179"/>
      <c r="W85" s="35"/>
      <c r="X85" s="524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</row>
    <row r="86" spans="1:58" s="70" customFormat="1">
      <c r="A86" s="35"/>
      <c r="B86" s="69"/>
      <c r="C86" s="166"/>
      <c r="D86" s="166"/>
      <c r="E86" s="367"/>
      <c r="F86" s="162"/>
      <c r="G86" s="311"/>
      <c r="H86" s="219"/>
      <c r="I86" s="219"/>
      <c r="J86" s="42"/>
      <c r="K86" s="219"/>
      <c r="L86" s="219"/>
      <c r="M86" s="42"/>
      <c r="N86" s="367"/>
      <c r="O86" s="162"/>
      <c r="P86" s="179"/>
      <c r="Q86" s="368"/>
      <c r="R86" s="162"/>
      <c r="S86" s="469"/>
      <c r="T86" s="368"/>
      <c r="U86" s="162"/>
      <c r="V86" s="179"/>
      <c r="W86" s="35"/>
      <c r="X86" s="524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</row>
    <row r="87" spans="1:58">
      <c r="B87" s="69"/>
      <c r="C87" s="166"/>
      <c r="D87" s="166"/>
      <c r="Q87" s="368"/>
      <c r="R87" s="162"/>
    </row>
    <row r="88" spans="1:58">
      <c r="B88" s="69"/>
      <c r="C88" s="166"/>
      <c r="D88" s="166"/>
      <c r="Q88" s="368"/>
      <c r="R88" s="162"/>
    </row>
    <row r="89" spans="1:58">
      <c r="B89" s="69"/>
      <c r="C89" s="166"/>
      <c r="D89" s="166"/>
      <c r="Q89" s="368"/>
      <c r="R89" s="162"/>
    </row>
    <row r="90" spans="1:58">
      <c r="B90" s="69"/>
      <c r="C90" s="166"/>
      <c r="D90" s="166"/>
      <c r="Q90" s="368"/>
      <c r="R90" s="162"/>
    </row>
    <row r="91" spans="1:58">
      <c r="B91" s="69"/>
      <c r="C91" s="166"/>
      <c r="D91" s="166"/>
      <c r="Q91" s="368"/>
      <c r="R91" s="162"/>
    </row>
    <row r="92" spans="1:58">
      <c r="B92" s="69"/>
      <c r="C92" s="166"/>
      <c r="D92" s="166"/>
      <c r="Q92" s="368"/>
      <c r="R92" s="162"/>
    </row>
    <row r="93" spans="1:58">
      <c r="B93" s="69"/>
      <c r="C93" s="166"/>
      <c r="D93" s="166"/>
      <c r="Q93" s="368"/>
      <c r="R93" s="162"/>
    </row>
    <row r="94" spans="1:58">
      <c r="B94" s="69"/>
      <c r="C94" s="166"/>
      <c r="D94" s="166"/>
      <c r="Q94" s="368"/>
      <c r="R94" s="162"/>
    </row>
    <row r="95" spans="1:58">
      <c r="B95" s="69"/>
      <c r="C95" s="166"/>
      <c r="D95" s="166"/>
      <c r="Q95" s="368"/>
      <c r="R95" s="162"/>
    </row>
    <row r="96" spans="1:58">
      <c r="B96" s="69"/>
      <c r="C96" s="166"/>
      <c r="D96" s="166"/>
      <c r="Q96" s="368"/>
      <c r="R96" s="162"/>
    </row>
    <row r="97" spans="1:58">
      <c r="B97" s="69"/>
      <c r="C97" s="166"/>
      <c r="D97" s="166"/>
      <c r="Q97" s="368"/>
      <c r="R97" s="162"/>
    </row>
    <row r="98" spans="1:58">
      <c r="B98" s="69"/>
      <c r="C98" s="166"/>
      <c r="D98" s="166"/>
      <c r="Q98" s="368"/>
      <c r="R98" s="162"/>
    </row>
    <row r="99" spans="1:58">
      <c r="B99" s="69"/>
      <c r="C99" s="166"/>
      <c r="D99" s="166"/>
      <c r="Q99" s="368"/>
      <c r="R99" s="162"/>
    </row>
    <row r="100" spans="1:58">
      <c r="A100"/>
      <c r="B100" s="69"/>
      <c r="C100" s="166"/>
      <c r="D100" s="166"/>
      <c r="Q100" s="368"/>
      <c r="R100" s="162"/>
      <c r="S100" s="494"/>
      <c r="W100"/>
      <c r="X100" s="30"/>
    </row>
    <row r="101" spans="1:58">
      <c r="A101"/>
      <c r="B101" s="69"/>
      <c r="C101" s="166"/>
      <c r="D101" s="166"/>
      <c r="Q101" s="368"/>
      <c r="R101" s="162"/>
      <c r="S101" s="494"/>
      <c r="W101"/>
      <c r="X101" s="30"/>
    </row>
    <row r="102" spans="1:58">
      <c r="A102"/>
      <c r="B102" s="69"/>
      <c r="C102" s="166"/>
      <c r="D102" s="166"/>
      <c r="P102"/>
      <c r="Q102" s="368"/>
      <c r="R102" s="162"/>
      <c r="S102" s="494"/>
      <c r="V102"/>
      <c r="W102"/>
      <c r="X102" s="30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>
      <c r="A103"/>
      <c r="B103" s="69"/>
      <c r="C103" s="166"/>
      <c r="D103" s="166"/>
      <c r="P103"/>
      <c r="Q103" s="368"/>
      <c r="R103" s="162"/>
      <c r="S103" s="494"/>
      <c r="V103"/>
      <c r="W103"/>
      <c r="X103" s="30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>
      <c r="A104"/>
      <c r="B104" s="69"/>
      <c r="C104" s="166"/>
      <c r="D104" s="166"/>
      <c r="P104"/>
      <c r="Q104" s="368"/>
      <c r="R104" s="162"/>
      <c r="S104" s="494"/>
      <c r="V104"/>
      <c r="W104"/>
      <c r="X104" s="30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>
      <c r="A105"/>
      <c r="B105" s="69"/>
      <c r="C105" s="166"/>
      <c r="D105" s="166"/>
      <c r="P105"/>
      <c r="Q105" s="368"/>
      <c r="R105" s="162"/>
      <c r="S105" s="494"/>
      <c r="V105"/>
      <c r="W105"/>
      <c r="X105" s="30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>
      <c r="A106"/>
      <c r="B106" s="69"/>
      <c r="C106" s="166"/>
      <c r="D106" s="166"/>
      <c r="P106"/>
      <c r="Q106" s="368"/>
      <c r="R106" s="162"/>
      <c r="S106" s="494"/>
      <c r="V106"/>
      <c r="W106"/>
      <c r="X106" s="30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>
      <c r="A107"/>
      <c r="B107" s="69"/>
      <c r="C107" s="166"/>
      <c r="D107" s="166"/>
      <c r="P107"/>
      <c r="Q107" s="368"/>
      <c r="R107" s="162"/>
      <c r="S107" s="494"/>
      <c r="V107"/>
      <c r="W107"/>
      <c r="X107" s="30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>
      <c r="A108"/>
      <c r="B108" s="69"/>
      <c r="C108" s="166"/>
      <c r="D108" s="166"/>
      <c r="P108"/>
      <c r="Q108" s="368"/>
      <c r="R108" s="162"/>
      <c r="S108" s="494"/>
      <c r="V108"/>
      <c r="W108"/>
      <c r="X108" s="30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>
      <c r="A109"/>
      <c r="B109" s="69"/>
      <c r="C109" s="166"/>
      <c r="D109" s="166"/>
      <c r="P109"/>
      <c r="Q109" s="368"/>
      <c r="R109" s="162"/>
      <c r="S109" s="494"/>
      <c r="V109"/>
      <c r="W109"/>
      <c r="X109" s="30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>
      <c r="A110"/>
      <c r="B110" s="69"/>
      <c r="C110" s="166"/>
      <c r="D110" s="166"/>
      <c r="P110"/>
      <c r="Q110" s="368"/>
      <c r="R110" s="162"/>
      <c r="S110" s="494"/>
      <c r="V110"/>
      <c r="W110"/>
      <c r="X110" s="3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>
      <c r="A111"/>
      <c r="B111" s="69"/>
      <c r="C111" s="166"/>
      <c r="D111" s="166"/>
      <c r="P111"/>
      <c r="Q111" s="368"/>
      <c r="R111" s="162"/>
      <c r="S111" s="494"/>
      <c r="V111"/>
      <c r="W111"/>
      <c r="X111" s="30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>
      <c r="A112"/>
      <c r="B112" s="69"/>
      <c r="C112" s="166"/>
      <c r="D112" s="166"/>
      <c r="P112"/>
      <c r="Q112" s="368"/>
      <c r="R112" s="162"/>
      <c r="S112" s="494"/>
      <c r="V112"/>
      <c r="W112"/>
      <c r="X112" s="30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>
      <c r="A113"/>
      <c r="B113" s="69"/>
      <c r="C113" s="166"/>
      <c r="D113" s="166"/>
      <c r="P113"/>
      <c r="Q113" s="368"/>
      <c r="R113" s="162"/>
      <c r="S113" s="494"/>
      <c r="V113"/>
      <c r="W113"/>
      <c r="X113" s="30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>
      <c r="A114"/>
      <c r="B114" s="69"/>
      <c r="C114" s="166"/>
      <c r="D114" s="166"/>
      <c r="P114"/>
      <c r="Q114" s="368"/>
      <c r="R114" s="162"/>
      <c r="S114" s="494"/>
      <c r="V114"/>
      <c r="W114"/>
      <c r="X114" s="30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>
      <c r="A115"/>
      <c r="B115" s="69"/>
      <c r="C115" s="166"/>
      <c r="D115" s="166"/>
      <c r="P115"/>
      <c r="Q115" s="368"/>
      <c r="R115" s="162"/>
      <c r="S115" s="494"/>
      <c r="V115"/>
      <c r="W115"/>
      <c r="X115" s="30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>
      <c r="A116"/>
      <c r="B116" s="69"/>
      <c r="C116" s="166"/>
      <c r="D116" s="166"/>
      <c r="P116"/>
      <c r="Q116" s="368"/>
      <c r="R116" s="162"/>
      <c r="S116" s="494"/>
      <c r="V116"/>
      <c r="W116"/>
      <c r="X116" s="30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>
      <c r="A117"/>
      <c r="B117" s="69"/>
      <c r="C117" s="166"/>
      <c r="D117" s="166"/>
      <c r="P117"/>
      <c r="Q117" s="368"/>
      <c r="R117" s="162"/>
      <c r="S117" s="494"/>
      <c r="V117"/>
      <c r="W117"/>
      <c r="X117" s="30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>
      <c r="A118"/>
      <c r="B118" s="69"/>
      <c r="C118" s="166"/>
      <c r="D118" s="166"/>
      <c r="P118"/>
      <c r="Q118" s="368"/>
      <c r="R118" s="162"/>
      <c r="S118" s="494"/>
      <c r="V118"/>
      <c r="W118"/>
      <c r="X118" s="30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>
      <c r="A119"/>
      <c r="B119" s="69"/>
      <c r="C119" s="166"/>
      <c r="D119" s="166"/>
      <c r="P119"/>
      <c r="Q119" s="368"/>
      <c r="R119" s="162"/>
      <c r="S119" s="494"/>
      <c r="V119"/>
      <c r="W119"/>
      <c r="X119" s="30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>
      <c r="A120"/>
      <c r="B120" s="69"/>
      <c r="C120" s="166"/>
      <c r="D120" s="166"/>
      <c r="P120"/>
      <c r="Q120" s="368"/>
      <c r="R120" s="162"/>
      <c r="S120" s="494"/>
      <c r="V120"/>
      <c r="W120"/>
      <c r="X120" s="3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>
      <c r="A121"/>
      <c r="B121" s="69"/>
      <c r="C121" s="166"/>
      <c r="D121" s="166"/>
      <c r="P121"/>
      <c r="Q121" s="494"/>
      <c r="R121" s="494"/>
      <c r="S121" s="494"/>
      <c r="V121"/>
      <c r="W121"/>
      <c r="X121" s="30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>
      <c r="A122"/>
      <c r="B122" s="69"/>
      <c r="C122" s="166"/>
      <c r="D122" s="166"/>
      <c r="P122"/>
      <c r="Q122" s="494"/>
      <c r="R122" s="494"/>
      <c r="S122" s="494"/>
      <c r="V122"/>
      <c r="W122"/>
      <c r="X122" s="30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>
      <c r="A123"/>
      <c r="B123" s="69"/>
      <c r="C123" s="166"/>
      <c r="D123" s="166"/>
      <c r="P123"/>
      <c r="Q123" s="494"/>
      <c r="R123" s="494"/>
      <c r="S123" s="494"/>
      <c r="V123"/>
      <c r="W123"/>
      <c r="X123" s="30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>
      <c r="A124"/>
      <c r="B124" s="69"/>
      <c r="C124" s="166"/>
      <c r="D124" s="166"/>
      <c r="P124"/>
      <c r="Q124" s="494"/>
      <c r="R124" s="494"/>
      <c r="S124" s="494"/>
      <c r="V124"/>
      <c r="W124"/>
      <c r="X124" s="30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>
      <c r="A125"/>
      <c r="B125" s="69"/>
      <c r="C125" s="166"/>
      <c r="D125" s="166"/>
      <c r="P125"/>
      <c r="Q125" s="494"/>
      <c r="R125" s="494"/>
      <c r="S125" s="494"/>
      <c r="V125"/>
      <c r="W125"/>
      <c r="X125" s="30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>
      <c r="A126"/>
      <c r="B126" s="69"/>
      <c r="C126" s="166"/>
      <c r="D126" s="166"/>
      <c r="P126"/>
      <c r="Q126" s="494"/>
      <c r="R126" s="494"/>
      <c r="S126" s="494"/>
      <c r="V126"/>
      <c r="W126"/>
      <c r="X126" s="30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>
      <c r="A127"/>
      <c r="B127" s="69"/>
      <c r="C127" s="166"/>
      <c r="D127" s="166"/>
      <c r="P127"/>
      <c r="Q127" s="494"/>
      <c r="R127" s="494"/>
      <c r="S127" s="494"/>
      <c r="V127"/>
      <c r="W127"/>
      <c r="X127" s="30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>
      <c r="B128" s="69"/>
      <c r="C128" s="166"/>
      <c r="D128" s="166"/>
      <c r="P128"/>
      <c r="V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2:58">
      <c r="B129" s="69"/>
      <c r="C129" s="166"/>
      <c r="D129" s="166"/>
      <c r="P129"/>
      <c r="V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E1" workbookViewId="0">
      <selection activeCell="S32" sqref="S32"/>
    </sheetView>
  </sheetViews>
  <sheetFormatPr baseColWidth="10" defaultColWidth="8.83203125" defaultRowHeight="14" x14ac:dyDescent="0"/>
  <cols>
    <col min="1" max="1" width="3.5" style="543" customWidth="1"/>
    <col min="3" max="3" width="12.1640625" customWidth="1"/>
    <col min="4" max="4" width="32.1640625" customWidth="1"/>
    <col min="5" max="5" width="34.5" customWidth="1"/>
    <col min="6" max="6" width="16.1640625" customWidth="1"/>
    <col min="7" max="7" width="5.83203125" customWidth="1"/>
    <col min="8" max="8" width="14" customWidth="1"/>
    <col min="9" max="9" width="6.1640625" customWidth="1"/>
    <col min="10" max="10" width="15.5" customWidth="1"/>
    <col min="12" max="12" width="4.33203125" customWidth="1"/>
    <col min="14" max="14" width="3.5" style="543" customWidth="1"/>
  </cols>
  <sheetData>
    <row r="1" spans="1:14" ht="15" thickBot="1">
      <c r="A1" s="558">
        <v>1</v>
      </c>
      <c r="N1" s="558">
        <v>1</v>
      </c>
    </row>
    <row r="2" spans="1:14">
      <c r="A2" s="558">
        <f>+A1+1</f>
        <v>2</v>
      </c>
      <c r="F2" s="526" t="s">
        <v>127</v>
      </c>
      <c r="G2" s="527"/>
      <c r="H2" s="526" t="s">
        <v>161</v>
      </c>
      <c r="I2" s="527"/>
      <c r="J2" s="526" t="s">
        <v>161</v>
      </c>
      <c r="N2" s="558">
        <f>+N1+1</f>
        <v>2</v>
      </c>
    </row>
    <row r="3" spans="1:14">
      <c r="A3" s="558">
        <f t="shared" ref="A3:A26" si="0">+A2+1</f>
        <v>3</v>
      </c>
      <c r="F3" s="528" t="s">
        <v>95</v>
      </c>
      <c r="G3" s="527"/>
      <c r="H3" s="528" t="s">
        <v>171</v>
      </c>
      <c r="I3" s="527"/>
      <c r="J3" s="528" t="s">
        <v>170</v>
      </c>
      <c r="N3" s="558">
        <f t="shared" ref="N3:N26" si="1">+N2+1</f>
        <v>3</v>
      </c>
    </row>
    <row r="4" spans="1:14">
      <c r="A4" s="558">
        <f t="shared" si="0"/>
        <v>4</v>
      </c>
      <c r="F4" s="529" t="s">
        <v>4</v>
      </c>
      <c r="G4" s="527"/>
      <c r="H4" s="529" t="s">
        <v>4</v>
      </c>
      <c r="I4" s="527"/>
      <c r="J4" s="529" t="s">
        <v>4</v>
      </c>
      <c r="N4" s="558">
        <f t="shared" si="1"/>
        <v>4</v>
      </c>
    </row>
    <row r="5" spans="1:14">
      <c r="A5" s="558">
        <f t="shared" si="0"/>
        <v>5</v>
      </c>
      <c r="F5" s="530">
        <v>2020</v>
      </c>
      <c r="G5" s="527"/>
      <c r="H5" s="530">
        <v>2020</v>
      </c>
      <c r="I5" s="527"/>
      <c r="J5" s="530">
        <v>2020</v>
      </c>
      <c r="N5" s="558">
        <f t="shared" si="1"/>
        <v>5</v>
      </c>
    </row>
    <row r="6" spans="1:14">
      <c r="A6" s="558">
        <f t="shared" si="0"/>
        <v>6</v>
      </c>
      <c r="F6" s="531" t="s">
        <v>2</v>
      </c>
      <c r="G6" s="527"/>
      <c r="H6" s="531" t="s">
        <v>2</v>
      </c>
      <c r="I6" s="527"/>
      <c r="J6" s="531" t="s">
        <v>2</v>
      </c>
      <c r="N6" s="558">
        <f t="shared" si="1"/>
        <v>6</v>
      </c>
    </row>
    <row r="7" spans="1:14">
      <c r="A7" s="558">
        <f t="shared" si="0"/>
        <v>7</v>
      </c>
      <c r="F7" s="532" t="s">
        <v>14</v>
      </c>
      <c r="G7" s="527"/>
      <c r="H7" s="532" t="s">
        <v>14</v>
      </c>
      <c r="I7" s="527"/>
      <c r="J7" s="532" t="s">
        <v>14</v>
      </c>
      <c r="N7" s="558">
        <f t="shared" si="1"/>
        <v>7</v>
      </c>
    </row>
    <row r="8" spans="1:14" ht="15" thickBot="1">
      <c r="A8" s="558">
        <f t="shared" si="0"/>
        <v>8</v>
      </c>
      <c r="B8" s="542" t="s">
        <v>13</v>
      </c>
      <c r="F8" s="552" t="e">
        <f>-#REF!</f>
        <v>#REF!</v>
      </c>
      <c r="H8" s="552" t="e">
        <f>-#REF!</f>
        <v>#REF!</v>
      </c>
      <c r="J8" s="552" t="e">
        <f>-#REF!</f>
        <v>#REF!</v>
      </c>
      <c r="N8" s="558">
        <f t="shared" si="1"/>
        <v>8</v>
      </c>
    </row>
    <row r="9" spans="1:14" ht="15" thickTop="1">
      <c r="A9" s="558">
        <f t="shared" si="0"/>
        <v>9</v>
      </c>
      <c r="C9" s="535" t="s">
        <v>66</v>
      </c>
      <c r="D9" s="164"/>
      <c r="F9" s="231"/>
      <c r="H9" s="231"/>
      <c r="J9" s="231"/>
      <c r="N9" s="558">
        <f t="shared" si="1"/>
        <v>9</v>
      </c>
    </row>
    <row r="10" spans="1:14">
      <c r="A10" s="558">
        <f t="shared" si="0"/>
        <v>10</v>
      </c>
      <c r="C10" s="534" t="s">
        <v>181</v>
      </c>
      <c r="D10" s="164" t="s">
        <v>67</v>
      </c>
      <c r="F10" s="538">
        <f>+'REV Bud Best 2020'!N63/1000</f>
        <v>67.706000000000003</v>
      </c>
      <c r="H10" s="539">
        <f>+'REV Bud Best 2020'!T63/1000</f>
        <v>19.747</v>
      </c>
      <c r="J10" s="539">
        <f>+'REV Bud Worst 2020'!T63/1000</f>
        <v>19.747</v>
      </c>
      <c r="N10" s="558">
        <f t="shared" si="1"/>
        <v>10</v>
      </c>
    </row>
    <row r="11" spans="1:14">
      <c r="A11" s="558">
        <f t="shared" si="0"/>
        <v>11</v>
      </c>
      <c r="C11" s="534" t="s">
        <v>172</v>
      </c>
      <c r="D11" s="164" t="s">
        <v>105</v>
      </c>
      <c r="F11" s="539">
        <f>+'REV Bud Best 2020'!N64/1000</f>
        <v>40.799999999999997</v>
      </c>
      <c r="H11" s="539">
        <f>+'REV Bud Best 2020'!T64/1000</f>
        <v>40.799999999999997</v>
      </c>
      <c r="J11" s="539">
        <f>+'REV Bud Worst 2020'!T64/1000</f>
        <v>40.799999999999997</v>
      </c>
      <c r="N11" s="558">
        <f t="shared" si="1"/>
        <v>11</v>
      </c>
    </row>
    <row r="12" spans="1:14">
      <c r="A12" s="558">
        <f t="shared" si="0"/>
        <v>12</v>
      </c>
      <c r="C12" s="534" t="s">
        <v>173</v>
      </c>
      <c r="D12" s="164" t="s">
        <v>69</v>
      </c>
      <c r="F12" s="539">
        <f>+'REV Bud Best 2020'!N65/1000</f>
        <v>63.5</v>
      </c>
      <c r="H12" s="539">
        <f>+'REV Bud Best 2020'!T65/1000</f>
        <v>71.340999999999994</v>
      </c>
      <c r="J12" s="539">
        <f>+'REV Bud Worst 2020'!T65/1000</f>
        <v>71.340999999999994</v>
      </c>
      <c r="N12" s="558">
        <f t="shared" si="1"/>
        <v>12</v>
      </c>
    </row>
    <row r="13" spans="1:14">
      <c r="A13" s="558">
        <f t="shared" si="0"/>
        <v>13</v>
      </c>
      <c r="C13" s="533" t="s">
        <v>174</v>
      </c>
      <c r="D13" s="164" t="s">
        <v>70</v>
      </c>
      <c r="F13" s="539">
        <f>+'REV Bud Best 2020'!N66/1000</f>
        <v>10</v>
      </c>
      <c r="H13" s="539">
        <f>+'REV Bud Best 2020'!T66/1000</f>
        <v>20</v>
      </c>
      <c r="J13" s="539">
        <f>+'REV Bud Worst 2020'!T66/1000</f>
        <v>20</v>
      </c>
      <c r="N13" s="558">
        <f t="shared" si="1"/>
        <v>13</v>
      </c>
    </row>
    <row r="14" spans="1:14">
      <c r="A14" s="558">
        <f t="shared" si="0"/>
        <v>14</v>
      </c>
      <c r="C14" s="534"/>
      <c r="D14" s="153" t="s">
        <v>71</v>
      </c>
      <c r="F14" s="539">
        <f>+'REV Bud Best 2020'!N67/1000</f>
        <v>15</v>
      </c>
      <c r="H14" s="539">
        <f>+'REV Bud Best 2020'!T67/1000</f>
        <v>15</v>
      </c>
      <c r="J14" s="539">
        <f>+'REV Bud Worst 2020'!T67/1000</f>
        <v>15</v>
      </c>
      <c r="N14" s="558">
        <f t="shared" si="1"/>
        <v>14</v>
      </c>
    </row>
    <row r="15" spans="1:14">
      <c r="A15" s="558">
        <f t="shared" si="0"/>
        <v>15</v>
      </c>
      <c r="C15" s="189"/>
      <c r="D15" s="153" t="s">
        <v>72</v>
      </c>
      <c r="F15" s="539">
        <f>+'REV Bud Best 2020'!N68/1000</f>
        <v>3</v>
      </c>
      <c r="H15" s="539">
        <f>+'REV Bud Best 2020'!T68/1000</f>
        <v>3</v>
      </c>
      <c r="J15" s="539">
        <f>+'REV Bud Worst 2020'!T68/1000</f>
        <v>3</v>
      </c>
      <c r="N15" s="558">
        <f t="shared" si="1"/>
        <v>15</v>
      </c>
    </row>
    <row r="16" spans="1:14">
      <c r="A16" s="558">
        <f t="shared" si="0"/>
        <v>16</v>
      </c>
      <c r="C16" s="535"/>
      <c r="D16" s="164" t="s">
        <v>147</v>
      </c>
      <c r="F16" s="539">
        <f>+'REV Bud Best 2020'!N69/1000</f>
        <v>0</v>
      </c>
      <c r="H16" s="539">
        <f>+'REV Bud Best 2020'!T69</f>
        <v>0</v>
      </c>
      <c r="J16" s="539">
        <f>+'REV Bud Worst 2020'!T69</f>
        <v>0</v>
      </c>
      <c r="N16" s="558">
        <f t="shared" si="1"/>
        <v>16</v>
      </c>
    </row>
    <row r="17" spans="1:14">
      <c r="A17" s="558">
        <f t="shared" si="0"/>
        <v>17</v>
      </c>
      <c r="C17" s="1"/>
      <c r="D17" s="1"/>
      <c r="F17" s="540">
        <f>SUM(F10:F16)</f>
        <v>200.006</v>
      </c>
      <c r="H17" s="540">
        <f>SUM(H10:H16)</f>
        <v>169.88799999999998</v>
      </c>
      <c r="J17" s="540">
        <f>SUM(J10:J16)</f>
        <v>169.88799999999998</v>
      </c>
      <c r="N17" s="558">
        <f t="shared" si="1"/>
        <v>17</v>
      </c>
    </row>
    <row r="18" spans="1:14">
      <c r="A18" s="558">
        <f t="shared" si="0"/>
        <v>18</v>
      </c>
      <c r="C18" s="189" t="s">
        <v>55</v>
      </c>
      <c r="D18" s="1"/>
      <c r="F18" s="556">
        <f>+('REV Bud Best 2020'!O49+'REV Bud Best 2020'!O44)/1000</f>
        <v>46.55</v>
      </c>
      <c r="H18" s="537">
        <f>+('REV Bud Best 2020'!U49+'REV Bud Best 2020'!U44)/1000</f>
        <v>37.049999999999997</v>
      </c>
      <c r="J18" s="537">
        <f>+('REV Bud Worst 2020'!U49+'REV Bud Worst 2020'!U44)/1000</f>
        <v>36.549999999999997</v>
      </c>
      <c r="N18" s="558">
        <f t="shared" si="1"/>
        <v>18</v>
      </c>
    </row>
    <row r="19" spans="1:14" ht="15" thickBot="1">
      <c r="A19" s="558">
        <f t="shared" si="0"/>
        <v>19</v>
      </c>
      <c r="F19" s="553">
        <f>SUM(F17:F18)</f>
        <v>246.55599999999998</v>
      </c>
      <c r="H19" s="553">
        <f>SUM(H17:H18)</f>
        <v>206.93799999999999</v>
      </c>
      <c r="I19" s="541"/>
      <c r="J19" s="553">
        <f>SUM(J17:J18)</f>
        <v>206.43799999999999</v>
      </c>
      <c r="N19" s="558">
        <f t="shared" si="1"/>
        <v>19</v>
      </c>
    </row>
    <row r="20" spans="1:14" ht="15" thickBot="1">
      <c r="A20" s="558">
        <f t="shared" si="0"/>
        <v>20</v>
      </c>
      <c r="N20" s="558">
        <f t="shared" si="1"/>
        <v>20</v>
      </c>
    </row>
    <row r="21" spans="1:14">
      <c r="A21" s="558">
        <f t="shared" si="0"/>
        <v>21</v>
      </c>
      <c r="D21" s="544"/>
      <c r="E21" s="12"/>
      <c r="F21" s="545" t="s">
        <v>183</v>
      </c>
      <c r="G21" s="12"/>
      <c r="H21" s="536" t="s">
        <v>184</v>
      </c>
      <c r="I21" s="12"/>
      <c r="J21" s="545" t="s">
        <v>176</v>
      </c>
      <c r="K21" s="545" t="s">
        <v>177</v>
      </c>
      <c r="L21" s="12"/>
      <c r="M21" s="546"/>
      <c r="N21" s="558">
        <f t="shared" si="1"/>
        <v>21</v>
      </c>
    </row>
    <row r="22" spans="1:14">
      <c r="A22" s="558">
        <f t="shared" si="0"/>
        <v>22</v>
      </c>
      <c r="D22" s="259" t="s">
        <v>172</v>
      </c>
      <c r="E22" s="1" t="s">
        <v>175</v>
      </c>
      <c r="F22" s="547">
        <f>+F11/12*4</f>
        <v>13.6</v>
      </c>
      <c r="G22" s="547"/>
      <c r="H22" s="537">
        <f>+H11/12*2</f>
        <v>6.8</v>
      </c>
      <c r="I22" s="547"/>
      <c r="J22" s="547">
        <f>+F11/12*6</f>
        <v>20.399999999999999</v>
      </c>
      <c r="K22" s="548">
        <f>SUM(F22:J22)</f>
        <v>40.799999999999997</v>
      </c>
      <c r="L22" s="1"/>
      <c r="M22" s="232"/>
      <c r="N22" s="558">
        <f t="shared" si="1"/>
        <v>22</v>
      </c>
    </row>
    <row r="23" spans="1:14">
      <c r="A23" s="558">
        <f t="shared" si="0"/>
        <v>23</v>
      </c>
      <c r="D23" s="259" t="s">
        <v>173</v>
      </c>
      <c r="E23" s="1" t="s">
        <v>175</v>
      </c>
      <c r="F23" s="547">
        <f>+F12/12*4</f>
        <v>21.166666666666668</v>
      </c>
      <c r="G23" s="547"/>
      <c r="H23" s="537">
        <f>+F12/12*2</f>
        <v>10.583333333333334</v>
      </c>
      <c r="I23" s="547"/>
      <c r="J23" s="547">
        <f>+F12/12*6</f>
        <v>31.75</v>
      </c>
      <c r="K23" s="548">
        <f>SUM(F23:J23)</f>
        <v>63.5</v>
      </c>
      <c r="L23" s="1"/>
      <c r="M23" s="549">
        <f>+K23+K24</f>
        <v>71.3</v>
      </c>
      <c r="N23" s="558">
        <f t="shared" si="1"/>
        <v>23</v>
      </c>
    </row>
    <row r="24" spans="1:14">
      <c r="A24" s="558">
        <f t="shared" si="0"/>
        <v>24</v>
      </c>
      <c r="D24" s="259" t="s">
        <v>173</v>
      </c>
      <c r="E24" s="1" t="s">
        <v>185</v>
      </c>
      <c r="F24" s="547">
        <v>0</v>
      </c>
      <c r="G24" s="547"/>
      <c r="H24" s="537">
        <v>7.8</v>
      </c>
      <c r="I24" s="547"/>
      <c r="J24" s="547">
        <v>0</v>
      </c>
      <c r="K24" s="548">
        <f>SUM(F24:J24)</f>
        <v>7.8</v>
      </c>
      <c r="L24" s="1"/>
      <c r="M24" s="232"/>
      <c r="N24" s="558">
        <f t="shared" si="1"/>
        <v>24</v>
      </c>
    </row>
    <row r="25" spans="1:14">
      <c r="A25" s="558">
        <f t="shared" si="0"/>
        <v>25</v>
      </c>
      <c r="D25" s="436" t="s">
        <v>174</v>
      </c>
      <c r="E25" s="1" t="s">
        <v>178</v>
      </c>
      <c r="F25" s="547">
        <v>1.2</v>
      </c>
      <c r="G25" s="547"/>
      <c r="H25" s="537">
        <f>40*35*8/1000</f>
        <v>11.2</v>
      </c>
      <c r="I25" s="547"/>
      <c r="J25" s="547">
        <f>7600/1000</f>
        <v>7.6</v>
      </c>
      <c r="K25" s="548">
        <f>SUM(F25:J25)</f>
        <v>20</v>
      </c>
      <c r="L25" s="1"/>
      <c r="M25" s="232"/>
      <c r="N25" s="558">
        <f t="shared" si="1"/>
        <v>25</v>
      </c>
    </row>
    <row r="26" spans="1:14" ht="15" thickBot="1">
      <c r="A26" s="558">
        <f t="shared" si="0"/>
        <v>26</v>
      </c>
      <c r="D26" s="550"/>
      <c r="E26" s="1"/>
      <c r="F26" s="1"/>
      <c r="G26" s="1"/>
      <c r="H26" s="555">
        <f>SUM(H22:H25)</f>
        <v>36.383333333333333</v>
      </c>
      <c r="I26" s="1"/>
      <c r="J26" s="1"/>
      <c r="K26" s="1"/>
      <c r="L26" s="1"/>
      <c r="M26" s="232"/>
      <c r="N26" s="558">
        <f t="shared" si="1"/>
        <v>26</v>
      </c>
    </row>
    <row r="27" spans="1:14" ht="15" thickTop="1">
      <c r="D27" s="550"/>
      <c r="E27" s="1"/>
      <c r="F27" s="1"/>
      <c r="G27" s="1"/>
      <c r="H27" s="231"/>
      <c r="I27" s="1"/>
      <c r="J27" s="1"/>
      <c r="K27" s="1"/>
      <c r="L27" s="1"/>
      <c r="M27" s="232"/>
    </row>
    <row r="28" spans="1:14" ht="29" thickBot="1">
      <c r="D28" s="10"/>
      <c r="E28" s="11"/>
      <c r="F28" s="11"/>
      <c r="G28" s="11"/>
      <c r="H28" s="554" t="s">
        <v>179</v>
      </c>
      <c r="I28" s="11"/>
      <c r="J28" s="11"/>
      <c r="K28" s="11"/>
      <c r="L28" s="11"/>
      <c r="M28" s="55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="80" zoomScaleNormal="80" zoomScalePageLayoutView="80" workbookViewId="0">
      <pane xSplit="3" topLeftCell="D1" activePane="topRight" state="frozen"/>
      <selection pane="topRight" activeCell="Z21" sqref="Z21"/>
    </sheetView>
  </sheetViews>
  <sheetFormatPr baseColWidth="10" defaultColWidth="8.83203125" defaultRowHeight="14" x14ac:dyDescent="0"/>
  <cols>
    <col min="1" max="1" width="4.1640625" customWidth="1"/>
    <col min="2" max="2" width="27.1640625" style="30" customWidth="1"/>
    <col min="3" max="3" width="46.6640625" customWidth="1"/>
    <col min="4" max="15" width="1.5" customWidth="1"/>
    <col min="16" max="16" width="11.6640625" customWidth="1"/>
    <col min="17" max="17" width="11.33203125" customWidth="1"/>
    <col min="18" max="18" width="3.6640625" style="174" customWidth="1"/>
    <col min="19" max="19" width="11.33203125" customWidth="1"/>
    <col min="20" max="20" width="11.5" customWidth="1"/>
    <col min="21" max="21" width="2.33203125" customWidth="1"/>
    <col min="22" max="23" width="11" style="459" customWidth="1"/>
    <col min="24" max="24" width="6.5" style="1" customWidth="1"/>
    <col min="25" max="25" width="9.5" bestFit="1" customWidth="1"/>
  </cols>
  <sheetData>
    <row r="1" spans="1:25" ht="18" thickBot="1">
      <c r="A1" s="35">
        <v>1</v>
      </c>
      <c r="B1" s="373" t="s">
        <v>114</v>
      </c>
      <c r="C1" s="37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374" t="s">
        <v>82</v>
      </c>
      <c r="Q1" s="173" t="s">
        <v>82</v>
      </c>
      <c r="R1" s="375"/>
      <c r="S1" s="374" t="s">
        <v>82</v>
      </c>
      <c r="T1" s="173" t="s">
        <v>82</v>
      </c>
      <c r="U1" s="153"/>
      <c r="V1" s="374" t="s">
        <v>82</v>
      </c>
      <c r="W1" s="173" t="s">
        <v>82</v>
      </c>
      <c r="X1" s="376"/>
      <c r="Y1" s="174"/>
    </row>
    <row r="2" spans="1:25" ht="17">
      <c r="A2" s="35"/>
      <c r="B2" s="460"/>
      <c r="C2" s="209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461"/>
      <c r="Q2" s="462"/>
      <c r="R2" s="463"/>
      <c r="S2" s="461"/>
      <c r="T2" s="464"/>
      <c r="U2" s="153"/>
      <c r="V2" s="461"/>
      <c r="W2" s="464"/>
      <c r="X2" s="376"/>
      <c r="Y2" s="174"/>
    </row>
    <row r="3" spans="1:25" ht="18" thickBot="1">
      <c r="A3" s="35">
        <f>+A1+1</f>
        <v>2</v>
      </c>
      <c r="B3" s="51"/>
      <c r="C3" s="88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269" t="s">
        <v>0</v>
      </c>
      <c r="Q3" s="377" t="s">
        <v>0</v>
      </c>
      <c r="R3" s="269"/>
      <c r="S3" s="269" t="s">
        <v>1</v>
      </c>
      <c r="T3" s="269" t="s">
        <v>1</v>
      </c>
      <c r="U3" s="153"/>
      <c r="V3" s="378" t="s">
        <v>115</v>
      </c>
      <c r="W3" s="378" t="s">
        <v>115</v>
      </c>
      <c r="X3" s="379"/>
      <c r="Y3" s="174"/>
    </row>
    <row r="4" spans="1:25" ht="15" thickBot="1">
      <c r="A4" s="35">
        <f t="shared" ref="A4:A67" si="0">+A3+1</f>
        <v>3</v>
      </c>
      <c r="B4" s="380" t="s">
        <v>116</v>
      </c>
      <c r="C4" s="176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381"/>
      <c r="Q4" s="382"/>
      <c r="R4" s="383"/>
      <c r="S4" s="381"/>
      <c r="T4" s="381"/>
      <c r="U4" s="153"/>
      <c r="V4" s="384"/>
      <c r="W4" s="385"/>
      <c r="X4" s="386"/>
      <c r="Y4" s="179"/>
    </row>
    <row r="5" spans="1:25">
      <c r="A5" s="35">
        <f t="shared" si="0"/>
        <v>4</v>
      </c>
      <c r="B5" s="276" t="s">
        <v>27</v>
      </c>
      <c r="C5" s="221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387"/>
      <c r="Q5" s="388">
        <f>87294+945</f>
        <v>88239</v>
      </c>
      <c r="R5" s="389"/>
      <c r="S5" s="387"/>
      <c r="T5" s="388">
        <v>88739</v>
      </c>
      <c r="U5" s="153"/>
      <c r="V5" s="390"/>
      <c r="W5" s="391">
        <f>+Q5-T5</f>
        <v>-500</v>
      </c>
      <c r="X5" s="392"/>
      <c r="Y5" s="179"/>
    </row>
    <row r="6" spans="1:25">
      <c r="A6" s="35">
        <f t="shared" si="0"/>
        <v>5</v>
      </c>
      <c r="B6" s="71"/>
      <c r="C6" s="88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228"/>
      <c r="Q6" s="393"/>
      <c r="R6" s="394"/>
      <c r="S6" s="228"/>
      <c r="T6" s="393"/>
      <c r="U6" s="153"/>
      <c r="V6" s="390"/>
      <c r="W6" s="391"/>
      <c r="X6" s="392"/>
      <c r="Y6" s="179"/>
    </row>
    <row r="7" spans="1:25">
      <c r="A7" s="35">
        <f t="shared" si="0"/>
        <v>6</v>
      </c>
      <c r="B7" s="71" t="s">
        <v>3</v>
      </c>
      <c r="C7" s="88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229"/>
      <c r="Q7" s="185">
        <f>SUM(P8:P10)</f>
        <v>61334</v>
      </c>
      <c r="R7" s="395"/>
      <c r="S7" s="229"/>
      <c r="T7" s="185">
        <f>SUM(S8:S10)</f>
        <v>61400</v>
      </c>
      <c r="U7" s="153"/>
      <c r="V7" s="396"/>
      <c r="W7" s="391">
        <f>SUM(V8:V10)</f>
        <v>-66</v>
      </c>
      <c r="X7" s="397"/>
      <c r="Y7" s="179"/>
    </row>
    <row r="8" spans="1:25">
      <c r="A8" s="35">
        <f t="shared" si="0"/>
        <v>7</v>
      </c>
      <c r="B8" s="398"/>
      <c r="C8" s="88" t="s">
        <v>28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228">
        <v>60000</v>
      </c>
      <c r="Q8" s="393"/>
      <c r="R8" s="394"/>
      <c r="S8" s="228">
        <v>60000</v>
      </c>
      <c r="T8" s="393"/>
      <c r="U8" s="153"/>
      <c r="V8" s="390">
        <f>+P8-S8</f>
        <v>0</v>
      </c>
      <c r="W8" s="391"/>
      <c r="X8" s="399"/>
      <c r="Y8" s="179"/>
    </row>
    <row r="9" spans="1:25">
      <c r="A9" s="35">
        <f t="shared" si="0"/>
        <v>8</v>
      </c>
      <c r="B9" s="398"/>
      <c r="C9" s="88" t="s">
        <v>29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228">
        <v>1334</v>
      </c>
      <c r="Q9" s="393"/>
      <c r="R9" s="394"/>
      <c r="S9" s="228">
        <v>1400</v>
      </c>
      <c r="T9" s="393"/>
      <c r="U9" s="153"/>
      <c r="V9" s="390">
        <f>+P9-S9</f>
        <v>-66</v>
      </c>
      <c r="W9" s="391"/>
      <c r="X9" s="399"/>
      <c r="Y9" s="179"/>
    </row>
    <row r="10" spans="1:25">
      <c r="A10" s="35">
        <f t="shared" si="0"/>
        <v>9</v>
      </c>
      <c r="B10" s="398"/>
      <c r="C10" s="88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28"/>
      <c r="Q10" s="393"/>
      <c r="R10" s="394"/>
      <c r="S10" s="228"/>
      <c r="T10" s="393"/>
      <c r="U10" s="153"/>
      <c r="V10" s="390">
        <v>0</v>
      </c>
      <c r="W10" s="391"/>
      <c r="X10" s="399"/>
      <c r="Y10" s="179"/>
    </row>
    <row r="11" spans="1:25">
      <c r="A11" s="35">
        <f t="shared" si="0"/>
        <v>10</v>
      </c>
      <c r="B11" s="398"/>
      <c r="C11" s="221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228"/>
      <c r="Q11" s="393"/>
      <c r="R11" s="394"/>
      <c r="S11" s="228"/>
      <c r="T11" s="393"/>
      <c r="U11" s="153"/>
      <c r="V11" s="390"/>
      <c r="W11" s="391"/>
      <c r="X11" s="399"/>
      <c r="Y11" s="179"/>
    </row>
    <row r="12" spans="1:25">
      <c r="A12" s="35">
        <f t="shared" si="0"/>
        <v>11</v>
      </c>
      <c r="B12" s="398"/>
      <c r="C12" s="221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228"/>
      <c r="Q12" s="393"/>
      <c r="R12" s="394"/>
      <c r="S12" s="228"/>
      <c r="T12" s="393"/>
      <c r="U12" s="153"/>
      <c r="V12" s="390"/>
      <c r="W12" s="391"/>
      <c r="X12" s="399"/>
      <c r="Y12" s="179"/>
    </row>
    <row r="13" spans="1:25">
      <c r="A13" s="35">
        <f t="shared" si="0"/>
        <v>12</v>
      </c>
      <c r="B13" s="89" t="s">
        <v>117</v>
      </c>
      <c r="C13" s="221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228"/>
      <c r="Q13" s="188">
        <f>SUM(P14:P26)</f>
        <v>296213</v>
      </c>
      <c r="R13" s="400"/>
      <c r="S13" s="228"/>
      <c r="T13" s="188">
        <f>SUM(S14:S26)</f>
        <v>300845</v>
      </c>
      <c r="U13" s="153"/>
      <c r="V13" s="390"/>
      <c r="W13" s="391">
        <f>SUM(V14:V26)</f>
        <v>-4632</v>
      </c>
      <c r="X13" s="401"/>
      <c r="Y13" s="179"/>
    </row>
    <row r="14" spans="1:25">
      <c r="A14" s="35">
        <f t="shared" si="0"/>
        <v>13</v>
      </c>
      <c r="B14" s="89"/>
      <c r="C14" s="250" t="s">
        <v>45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28">
        <v>136535</v>
      </c>
      <c r="Q14" s="393"/>
      <c r="R14" s="394"/>
      <c r="S14" s="228">
        <v>135860</v>
      </c>
      <c r="T14" s="393"/>
      <c r="U14" s="189"/>
      <c r="V14" s="390">
        <f t="shared" ref="V14:V26" si="1">+P14-S14</f>
        <v>675</v>
      </c>
      <c r="W14" s="391"/>
      <c r="X14" s="399"/>
      <c r="Y14" s="179"/>
    </row>
    <row r="15" spans="1:25">
      <c r="A15" s="35">
        <f t="shared" si="0"/>
        <v>14</v>
      </c>
      <c r="B15" s="319"/>
      <c r="C15" s="221" t="s">
        <v>9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28">
        <v>77439</v>
      </c>
      <c r="Q15" s="393"/>
      <c r="R15" s="394"/>
      <c r="S15" s="228">
        <v>77821</v>
      </c>
      <c r="T15" s="393"/>
      <c r="U15" s="153"/>
      <c r="V15" s="390">
        <f t="shared" si="1"/>
        <v>-382</v>
      </c>
      <c r="W15" s="391"/>
      <c r="X15" s="399"/>
      <c r="Y15" s="179"/>
    </row>
    <row r="16" spans="1:25">
      <c r="A16" s="35">
        <f t="shared" si="0"/>
        <v>15</v>
      </c>
      <c r="B16" s="89"/>
      <c r="C16" s="221" t="s">
        <v>84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228">
        <f>22500-2500</f>
        <v>20000</v>
      </c>
      <c r="Q16" s="393"/>
      <c r="R16" s="394"/>
      <c r="S16" s="228">
        <v>20000</v>
      </c>
      <c r="T16" s="393"/>
      <c r="U16" s="153"/>
      <c r="V16" s="390">
        <f t="shared" si="1"/>
        <v>0</v>
      </c>
      <c r="W16" s="391"/>
      <c r="X16" s="399"/>
      <c r="Y16" s="179"/>
    </row>
    <row r="17" spans="1:25">
      <c r="A17" s="35">
        <f t="shared" si="0"/>
        <v>16</v>
      </c>
      <c r="B17" s="89"/>
      <c r="C17" s="221" t="s">
        <v>47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228">
        <v>8000</v>
      </c>
      <c r="Q17" s="393"/>
      <c r="R17" s="394"/>
      <c r="S17" s="228">
        <v>10500</v>
      </c>
      <c r="T17" s="393"/>
      <c r="U17" s="153"/>
      <c r="V17" s="390">
        <f t="shared" si="1"/>
        <v>-2500</v>
      </c>
      <c r="W17" s="391"/>
      <c r="X17" s="399"/>
      <c r="Y17" s="179"/>
    </row>
    <row r="18" spans="1:25">
      <c r="A18" s="35">
        <f t="shared" si="0"/>
        <v>17</v>
      </c>
      <c r="B18" s="89"/>
      <c r="C18" s="221" t="s">
        <v>10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228">
        <v>12300</v>
      </c>
      <c r="Q18" s="393"/>
      <c r="R18" s="394"/>
      <c r="S18" s="228">
        <v>12300</v>
      </c>
      <c r="T18" s="393"/>
      <c r="U18" s="153"/>
      <c r="V18" s="390">
        <f t="shared" si="1"/>
        <v>0</v>
      </c>
      <c r="W18" s="391"/>
      <c r="X18" s="399"/>
      <c r="Y18" s="179"/>
    </row>
    <row r="19" spans="1:25">
      <c r="A19" s="35">
        <f t="shared" si="0"/>
        <v>18</v>
      </c>
      <c r="B19" s="89"/>
      <c r="C19" s="221" t="s">
        <v>85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228">
        <v>15738</v>
      </c>
      <c r="Q19" s="393"/>
      <c r="R19" s="394"/>
      <c r="S19" s="228">
        <v>15988</v>
      </c>
      <c r="T19" s="393"/>
      <c r="U19" s="153"/>
      <c r="V19" s="390">
        <f t="shared" si="1"/>
        <v>-250</v>
      </c>
      <c r="W19" s="391"/>
      <c r="X19" s="399"/>
      <c r="Y19" s="179"/>
    </row>
    <row r="20" spans="1:25">
      <c r="A20" s="35">
        <f t="shared" si="0"/>
        <v>19</v>
      </c>
      <c r="B20" s="89"/>
      <c r="C20" s="221" t="s">
        <v>37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228">
        <v>750</v>
      </c>
      <c r="Q20" s="393"/>
      <c r="R20" s="394"/>
      <c r="S20" s="228">
        <v>750</v>
      </c>
      <c r="T20" s="393"/>
      <c r="U20" s="153"/>
      <c r="V20" s="390">
        <f t="shared" si="1"/>
        <v>0</v>
      </c>
      <c r="W20" s="391"/>
      <c r="X20" s="399"/>
      <c r="Y20" s="179"/>
    </row>
    <row r="21" spans="1:25">
      <c r="A21" s="35">
        <f t="shared" si="0"/>
        <v>20</v>
      </c>
      <c r="B21" s="89"/>
      <c r="C21" s="221" t="s">
        <v>38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228">
        <f>22914-2500</f>
        <v>20414</v>
      </c>
      <c r="Q21" s="253"/>
      <c r="R21" s="402"/>
      <c r="S21" s="228">
        <v>20090</v>
      </c>
      <c r="T21" s="253"/>
      <c r="U21" s="153"/>
      <c r="V21" s="390">
        <f t="shared" si="1"/>
        <v>324</v>
      </c>
      <c r="W21" s="403"/>
      <c r="X21" s="399"/>
      <c r="Y21" s="179"/>
    </row>
    <row r="22" spans="1:25">
      <c r="A22" s="35">
        <f t="shared" si="0"/>
        <v>21</v>
      </c>
      <c r="B22" s="404"/>
      <c r="C22" s="193" t="s">
        <v>39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228">
        <v>2500</v>
      </c>
      <c r="Q22" s="253"/>
      <c r="R22" s="402"/>
      <c r="S22" s="228">
        <v>5000</v>
      </c>
      <c r="T22" s="253"/>
      <c r="U22" s="164"/>
      <c r="V22" s="390">
        <f t="shared" si="1"/>
        <v>-2500</v>
      </c>
      <c r="W22" s="403"/>
      <c r="X22" s="399"/>
      <c r="Y22" s="179"/>
    </row>
    <row r="23" spans="1:25">
      <c r="A23" s="35">
        <f t="shared" si="0"/>
        <v>22</v>
      </c>
      <c r="B23" s="319"/>
      <c r="C23" s="221" t="s">
        <v>40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28"/>
      <c r="Q23" s="253"/>
      <c r="R23" s="402"/>
      <c r="S23" s="228">
        <v>0</v>
      </c>
      <c r="T23" s="253"/>
      <c r="U23" s="164"/>
      <c r="V23" s="390">
        <f t="shared" si="1"/>
        <v>0</v>
      </c>
      <c r="W23" s="403"/>
      <c r="X23" s="399"/>
      <c r="Y23" s="179"/>
    </row>
    <row r="24" spans="1:25">
      <c r="A24" s="35">
        <f t="shared" si="0"/>
        <v>23</v>
      </c>
      <c r="B24" s="319"/>
      <c r="C24" s="101" t="s">
        <v>8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228"/>
      <c r="Q24" s="253"/>
      <c r="R24" s="402"/>
      <c r="S24" s="228">
        <v>0</v>
      </c>
      <c r="T24" s="253"/>
      <c r="U24" s="164"/>
      <c r="V24" s="390">
        <f t="shared" si="1"/>
        <v>0</v>
      </c>
      <c r="W24" s="403"/>
      <c r="X24" s="399"/>
      <c r="Y24" s="179"/>
    </row>
    <row r="25" spans="1:25">
      <c r="A25" s="35">
        <f t="shared" si="0"/>
        <v>24</v>
      </c>
      <c r="B25" s="319"/>
      <c r="C25" s="101" t="s">
        <v>41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228">
        <v>37</v>
      </c>
      <c r="Q25" s="253"/>
      <c r="R25" s="402"/>
      <c r="S25" s="228">
        <v>36</v>
      </c>
      <c r="T25" s="253"/>
      <c r="U25" s="164"/>
      <c r="V25" s="390">
        <f t="shared" si="1"/>
        <v>1</v>
      </c>
      <c r="W25" s="403"/>
      <c r="X25" s="399"/>
      <c r="Y25" s="179"/>
    </row>
    <row r="26" spans="1:25">
      <c r="A26" s="35">
        <f t="shared" si="0"/>
        <v>25</v>
      </c>
      <c r="B26" s="89"/>
      <c r="C26" s="88" t="s">
        <v>32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405">
        <v>2500</v>
      </c>
      <c r="Q26" s="253"/>
      <c r="R26" s="402"/>
      <c r="S26" s="405">
        <v>2500</v>
      </c>
      <c r="T26" s="253"/>
      <c r="U26" s="153"/>
      <c r="V26" s="390">
        <f t="shared" si="1"/>
        <v>0</v>
      </c>
      <c r="W26" s="403"/>
      <c r="X26" s="399"/>
      <c r="Y26" s="179"/>
    </row>
    <row r="27" spans="1:25">
      <c r="A27" s="35">
        <f t="shared" si="0"/>
        <v>26</v>
      </c>
      <c r="B27" s="89"/>
      <c r="C27" s="88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405"/>
      <c r="Q27" s="393"/>
      <c r="R27" s="394"/>
      <c r="S27" s="405"/>
      <c r="T27" s="393"/>
      <c r="U27" s="153"/>
      <c r="V27" s="406"/>
      <c r="W27" s="403"/>
      <c r="X27" s="399"/>
      <c r="Y27" s="179"/>
    </row>
    <row r="28" spans="1:25">
      <c r="A28" s="35">
        <f t="shared" si="0"/>
        <v>27</v>
      </c>
      <c r="B28" s="407" t="s">
        <v>118</v>
      </c>
      <c r="C28" s="195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408"/>
      <c r="Q28" s="197">
        <f>SUM(Q3:Q26)</f>
        <v>445786</v>
      </c>
      <c r="R28" s="389"/>
      <c r="S28" s="408"/>
      <c r="T28" s="197">
        <f>SUM(T3:T26)</f>
        <v>450984</v>
      </c>
      <c r="U28" s="164"/>
      <c r="V28" s="409"/>
      <c r="W28" s="410">
        <f>SUM(W5:W26)</f>
        <v>-5198</v>
      </c>
      <c r="X28" s="411"/>
      <c r="Y28" s="412">
        <f>+Q28-T28</f>
        <v>-5198</v>
      </c>
    </row>
    <row r="29" spans="1:25" ht="15" thickBot="1">
      <c r="A29" s="35">
        <f t="shared" si="0"/>
        <v>28</v>
      </c>
      <c r="B29" s="89"/>
      <c r="C29" s="88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228"/>
      <c r="Q29" s="413"/>
      <c r="R29" s="414"/>
      <c r="S29" s="228"/>
      <c r="T29" s="413"/>
      <c r="U29" s="153"/>
      <c r="V29" s="390"/>
      <c r="W29" s="415"/>
      <c r="X29" s="416"/>
      <c r="Y29" s="179"/>
    </row>
    <row r="30" spans="1:25" ht="15" thickBot="1">
      <c r="A30" s="35">
        <f t="shared" si="0"/>
        <v>29</v>
      </c>
      <c r="B30" s="380" t="s">
        <v>87</v>
      </c>
      <c r="C30" s="176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228"/>
      <c r="Q30" s="393"/>
      <c r="R30" s="394"/>
      <c r="S30" s="228"/>
      <c r="T30" s="393"/>
      <c r="U30" s="153"/>
      <c r="V30" s="390"/>
      <c r="W30" s="391"/>
      <c r="X30" s="416"/>
      <c r="Y30" s="179"/>
    </row>
    <row r="31" spans="1:25">
      <c r="A31" s="35">
        <f t="shared" si="0"/>
        <v>30</v>
      </c>
      <c r="B31" s="398" t="s">
        <v>44</v>
      </c>
      <c r="C31" s="88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228"/>
      <c r="Q31" s="188">
        <f>SUM(P32:P46)</f>
        <v>222165</v>
      </c>
      <c r="R31" s="400"/>
      <c r="S31" s="228"/>
      <c r="T31" s="188">
        <f>SUM(S32:S46)</f>
        <v>214816</v>
      </c>
      <c r="U31" s="153"/>
      <c r="V31" s="390"/>
      <c r="W31" s="391">
        <f>SUM(V32:V46)</f>
        <v>7349</v>
      </c>
      <c r="X31" s="401"/>
      <c r="Y31" s="179"/>
    </row>
    <row r="32" spans="1:25">
      <c r="A32" s="35">
        <f t="shared" si="0"/>
        <v>31</v>
      </c>
      <c r="B32" s="89"/>
      <c r="C32" s="221" t="s">
        <v>45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228">
        <v>86165</v>
      </c>
      <c r="Q32" s="393"/>
      <c r="R32" s="394"/>
      <c r="S32" s="228">
        <v>86092</v>
      </c>
      <c r="T32" s="393"/>
      <c r="U32" s="153"/>
      <c r="V32" s="390">
        <f t="shared" ref="V32:V44" si="2">+P32-S32</f>
        <v>73</v>
      </c>
      <c r="W32" s="391"/>
      <c r="X32" s="399"/>
      <c r="Y32" s="179"/>
    </row>
    <row r="33" spans="1:25">
      <c r="A33" s="35">
        <f t="shared" si="0"/>
        <v>32</v>
      </c>
      <c r="B33" s="319"/>
      <c r="C33" s="221" t="s">
        <v>9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228">
        <v>55798</v>
      </c>
      <c r="Q33" s="393"/>
      <c r="R33" s="394"/>
      <c r="S33" s="228">
        <v>50540</v>
      </c>
      <c r="T33" s="393"/>
      <c r="U33" s="153"/>
      <c r="V33" s="390">
        <f t="shared" si="2"/>
        <v>5258</v>
      </c>
      <c r="W33" s="391"/>
      <c r="X33" s="399"/>
      <c r="Y33" s="179"/>
    </row>
    <row r="34" spans="1:25">
      <c r="A34" s="35">
        <f t="shared" si="0"/>
        <v>33</v>
      </c>
      <c r="B34" s="89"/>
      <c r="C34" s="221" t="s">
        <v>46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228">
        <f>22500-2500</f>
        <v>20000</v>
      </c>
      <c r="Q34" s="393"/>
      <c r="R34" s="394"/>
      <c r="S34" s="228">
        <v>20000</v>
      </c>
      <c r="T34" s="393"/>
      <c r="U34" s="153"/>
      <c r="V34" s="390">
        <f t="shared" si="2"/>
        <v>0</v>
      </c>
      <c r="W34" s="391"/>
      <c r="X34" s="399"/>
      <c r="Y34" s="179"/>
    </row>
    <row r="35" spans="1:25">
      <c r="A35" s="35">
        <f t="shared" si="0"/>
        <v>34</v>
      </c>
      <c r="B35" s="89"/>
      <c r="C35" s="221" t="s">
        <v>47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417">
        <v>11896</v>
      </c>
      <c r="Q35" s="393"/>
      <c r="R35" s="394"/>
      <c r="S35" s="228">
        <v>12796</v>
      </c>
      <c r="T35" s="393"/>
      <c r="U35" s="153"/>
      <c r="V35" s="390">
        <f t="shared" si="2"/>
        <v>-900</v>
      </c>
      <c r="W35" s="391"/>
      <c r="X35" s="399"/>
      <c r="Y35" s="179"/>
    </row>
    <row r="36" spans="1:25">
      <c r="A36" s="35">
        <f t="shared" si="0"/>
        <v>35</v>
      </c>
      <c r="B36" s="89"/>
      <c r="C36" s="221" t="s">
        <v>10</v>
      </c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229">
        <v>2775</v>
      </c>
      <c r="Q36" s="393"/>
      <c r="R36" s="394"/>
      <c r="S36" s="228">
        <v>2775</v>
      </c>
      <c r="T36" s="393"/>
      <c r="U36" s="153"/>
      <c r="V36" s="390">
        <f t="shared" si="2"/>
        <v>0</v>
      </c>
      <c r="W36" s="391"/>
      <c r="X36" s="399"/>
      <c r="Y36" s="179"/>
    </row>
    <row r="37" spans="1:25">
      <c r="A37" s="35">
        <f t="shared" si="0"/>
        <v>36</v>
      </c>
      <c r="B37" s="89"/>
      <c r="C37" s="221" t="s">
        <v>48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229">
        <v>19250</v>
      </c>
      <c r="Q37" s="393"/>
      <c r="R37" s="394"/>
      <c r="S37" s="228">
        <v>19250</v>
      </c>
      <c r="T37" s="393"/>
      <c r="U37" s="153"/>
      <c r="V37" s="390">
        <f t="shared" si="2"/>
        <v>0</v>
      </c>
      <c r="W37" s="391"/>
      <c r="X37" s="399"/>
      <c r="Y37" s="179"/>
    </row>
    <row r="38" spans="1:25">
      <c r="A38" s="35">
        <f t="shared" si="0"/>
        <v>37</v>
      </c>
      <c r="B38" s="319"/>
      <c r="C38" s="221" t="s">
        <v>49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417">
        <f>27363-19250+78</f>
        <v>8191</v>
      </c>
      <c r="Q38" s="393"/>
      <c r="R38" s="394"/>
      <c r="S38" s="228">
        <v>6943</v>
      </c>
      <c r="T38" s="393"/>
      <c r="U38" s="153"/>
      <c r="V38" s="390">
        <f t="shared" si="2"/>
        <v>1248</v>
      </c>
      <c r="W38" s="391"/>
      <c r="X38" s="399"/>
      <c r="Y38" s="179"/>
    </row>
    <row r="39" spans="1:25">
      <c r="A39" s="35">
        <f t="shared" si="0"/>
        <v>38</v>
      </c>
      <c r="B39" s="89"/>
      <c r="C39" s="221" t="s">
        <v>37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228">
        <v>0</v>
      </c>
      <c r="Q39" s="393"/>
      <c r="R39" s="394"/>
      <c r="S39" s="228">
        <v>0</v>
      </c>
      <c r="T39" s="393"/>
      <c r="U39" s="153"/>
      <c r="V39" s="390">
        <f t="shared" si="2"/>
        <v>0</v>
      </c>
      <c r="W39" s="391"/>
      <c r="X39" s="399"/>
      <c r="Y39" s="179"/>
    </row>
    <row r="40" spans="1:25">
      <c r="A40" s="35">
        <f t="shared" si="0"/>
        <v>39</v>
      </c>
      <c r="B40" s="319"/>
      <c r="C40" s="221" t="s">
        <v>88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228">
        <v>1500</v>
      </c>
      <c r="Q40" s="393"/>
      <c r="R40" s="394"/>
      <c r="S40" s="228">
        <v>920</v>
      </c>
      <c r="T40" s="393"/>
      <c r="U40" s="164"/>
      <c r="V40" s="390">
        <f t="shared" si="2"/>
        <v>580</v>
      </c>
      <c r="W40" s="391"/>
      <c r="X40" s="399"/>
      <c r="Y40" s="179"/>
    </row>
    <row r="41" spans="1:25">
      <c r="A41" s="35">
        <f t="shared" si="0"/>
        <v>40</v>
      </c>
      <c r="B41" s="89"/>
      <c r="C41" s="221" t="s">
        <v>38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228">
        <v>14047</v>
      </c>
      <c r="Q41" s="393"/>
      <c r="R41" s="394"/>
      <c r="S41" s="228">
        <v>13000</v>
      </c>
      <c r="T41" s="393"/>
      <c r="U41" s="164"/>
      <c r="V41" s="390">
        <f t="shared" si="2"/>
        <v>1047</v>
      </c>
      <c r="W41" s="391"/>
      <c r="X41" s="399"/>
      <c r="Y41" s="179"/>
    </row>
    <row r="42" spans="1:25">
      <c r="A42" s="35">
        <f t="shared" si="0"/>
        <v>41</v>
      </c>
      <c r="B42" s="319"/>
      <c r="C42" s="221" t="s">
        <v>12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228"/>
      <c r="Q42" s="393"/>
      <c r="R42" s="394"/>
      <c r="S42" s="228"/>
      <c r="T42" s="393"/>
      <c r="U42" s="164"/>
      <c r="V42" s="390">
        <f t="shared" si="2"/>
        <v>0</v>
      </c>
      <c r="W42" s="391"/>
      <c r="X42" s="399"/>
      <c r="Y42" s="179"/>
    </row>
    <row r="43" spans="1:25">
      <c r="A43" s="35">
        <f t="shared" si="0"/>
        <v>42</v>
      </c>
      <c r="B43" s="319"/>
      <c r="C43" s="221" t="s">
        <v>8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228"/>
      <c r="Q43" s="393"/>
      <c r="R43" s="394"/>
      <c r="S43" s="228"/>
      <c r="T43" s="393"/>
      <c r="U43" s="164"/>
      <c r="V43" s="390">
        <f t="shared" si="2"/>
        <v>0</v>
      </c>
      <c r="W43" s="391"/>
      <c r="X43" s="399"/>
      <c r="Y43" s="179"/>
    </row>
    <row r="44" spans="1:25">
      <c r="A44" s="35">
        <f t="shared" si="0"/>
        <v>43</v>
      </c>
      <c r="B44" s="89"/>
      <c r="C44" s="221" t="s">
        <v>32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228">
        <v>2543</v>
      </c>
      <c r="Q44" s="393"/>
      <c r="R44" s="394"/>
      <c r="S44" s="228">
        <v>2500</v>
      </c>
      <c r="T44" s="393"/>
      <c r="U44" s="153"/>
      <c r="V44" s="390">
        <f t="shared" si="2"/>
        <v>43</v>
      </c>
      <c r="W44" s="391"/>
      <c r="X44" s="399"/>
      <c r="Y44" s="179"/>
    </row>
    <row r="45" spans="1:25">
      <c r="A45" s="35">
        <f t="shared" si="0"/>
        <v>44</v>
      </c>
      <c r="B45" s="89"/>
      <c r="C45" s="221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228"/>
      <c r="Q45" s="393"/>
      <c r="R45" s="394"/>
      <c r="S45" s="228"/>
      <c r="T45" s="393"/>
      <c r="U45" s="153"/>
      <c r="V45" s="390"/>
      <c r="W45" s="391"/>
      <c r="X45" s="399"/>
      <c r="Y45" s="179"/>
    </row>
    <row r="46" spans="1:25">
      <c r="A46" s="35">
        <f t="shared" si="0"/>
        <v>45</v>
      </c>
      <c r="B46" s="89"/>
      <c r="C46" s="221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228"/>
      <c r="Q46" s="393"/>
      <c r="R46" s="394"/>
      <c r="S46" s="228"/>
      <c r="T46" s="393"/>
      <c r="U46" s="153"/>
      <c r="V46" s="390"/>
      <c r="W46" s="391"/>
      <c r="X46" s="399"/>
      <c r="Y46" s="179"/>
    </row>
    <row r="47" spans="1:25">
      <c r="A47" s="35">
        <f t="shared" si="0"/>
        <v>46</v>
      </c>
      <c r="B47" s="89" t="s">
        <v>89</v>
      </c>
      <c r="C47" s="221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228"/>
      <c r="Q47" s="188">
        <f>SUM(P49:P50)</f>
        <v>119</v>
      </c>
      <c r="R47" s="400"/>
      <c r="S47" s="228">
        <v>0</v>
      </c>
      <c r="T47" s="188">
        <f>SUM(S49:S50)</f>
        <v>1369</v>
      </c>
      <c r="U47" s="153"/>
      <c r="V47" s="390"/>
      <c r="W47" s="391">
        <f>SUM(V49:V50)</f>
        <v>-1250</v>
      </c>
      <c r="X47" s="401"/>
      <c r="Y47" s="179"/>
    </row>
    <row r="48" spans="1:25">
      <c r="A48" s="35">
        <f t="shared" si="0"/>
        <v>47</v>
      </c>
      <c r="B48" s="89"/>
      <c r="C48" s="221" t="s">
        <v>53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418"/>
      <c r="Q48" s="393"/>
      <c r="R48" s="394"/>
      <c r="S48" s="419"/>
      <c r="T48" s="393"/>
      <c r="U48" s="153"/>
      <c r="V48" s="390">
        <v>0</v>
      </c>
      <c r="W48" s="391"/>
      <c r="X48" s="399"/>
      <c r="Y48" s="179"/>
    </row>
    <row r="49" spans="1:25">
      <c r="A49" s="35">
        <f t="shared" si="0"/>
        <v>48</v>
      </c>
      <c r="B49" s="89"/>
      <c r="C49" s="221" t="s">
        <v>54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417">
        <v>119</v>
      </c>
      <c r="Q49" s="393"/>
      <c r="R49" s="394"/>
      <c r="S49" s="228">
        <v>1369</v>
      </c>
      <c r="T49" s="393"/>
      <c r="U49" s="153"/>
      <c r="V49" s="390">
        <f>+P49-S49</f>
        <v>-1250</v>
      </c>
      <c r="W49" s="391"/>
      <c r="X49" s="399"/>
      <c r="Y49" s="179"/>
    </row>
    <row r="50" spans="1:25">
      <c r="A50" s="35">
        <f t="shared" si="0"/>
        <v>49</v>
      </c>
      <c r="B50" s="89"/>
      <c r="C50" s="221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229"/>
      <c r="Q50" s="393"/>
      <c r="R50" s="394"/>
      <c r="S50" s="228"/>
      <c r="T50" s="393"/>
      <c r="U50" s="153"/>
      <c r="V50" s="390"/>
      <c r="W50" s="391"/>
      <c r="X50" s="399"/>
      <c r="Y50" s="179"/>
    </row>
    <row r="51" spans="1:25">
      <c r="A51" s="35">
        <f t="shared" si="0"/>
        <v>50</v>
      </c>
      <c r="B51" s="89"/>
      <c r="C51" s="221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229"/>
      <c r="Q51" s="393"/>
      <c r="R51" s="394"/>
      <c r="S51" s="228"/>
      <c r="T51" s="393"/>
      <c r="U51" s="153"/>
      <c r="V51" s="390"/>
      <c r="W51" s="391"/>
      <c r="X51" s="399"/>
      <c r="Y51" s="179"/>
    </row>
    <row r="52" spans="1:25">
      <c r="A52" s="35">
        <f t="shared" si="0"/>
        <v>51</v>
      </c>
      <c r="B52" s="89" t="s">
        <v>55</v>
      </c>
      <c r="C52" s="221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229"/>
      <c r="Q52" s="188">
        <f>SUM(P53:P63)</f>
        <v>16974</v>
      </c>
      <c r="R52" s="400"/>
      <c r="S52" s="228"/>
      <c r="T52" s="188">
        <f>SUM(S53:S63)</f>
        <v>18896</v>
      </c>
      <c r="U52" s="153"/>
      <c r="V52" s="390"/>
      <c r="W52" s="391">
        <f>SUM(V53:V63)</f>
        <v>-1922</v>
      </c>
      <c r="X52" s="401"/>
      <c r="Y52" s="179"/>
    </row>
    <row r="53" spans="1:25">
      <c r="A53" s="35">
        <f t="shared" si="0"/>
        <v>52</v>
      </c>
      <c r="B53" s="89"/>
      <c r="C53" s="221" t="s">
        <v>56</v>
      </c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228">
        <f>3808+310+415</f>
        <v>4533</v>
      </c>
      <c r="Q53" s="393"/>
      <c r="R53" s="394"/>
      <c r="S53" s="228">
        <v>4500</v>
      </c>
      <c r="T53" s="393"/>
      <c r="U53" s="153"/>
      <c r="V53" s="390">
        <f t="shared" ref="V53:V63" si="3">+P53-S53</f>
        <v>33</v>
      </c>
      <c r="W53" s="391"/>
      <c r="X53" s="399"/>
      <c r="Y53" s="179"/>
    </row>
    <row r="54" spans="1:25">
      <c r="A54" s="35">
        <f t="shared" si="0"/>
        <v>53</v>
      </c>
      <c r="B54" s="89"/>
      <c r="C54" s="221" t="s">
        <v>57</v>
      </c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228">
        <v>2444</v>
      </c>
      <c r="Q54" s="393"/>
      <c r="R54" s="394"/>
      <c r="S54" s="228">
        <v>2704</v>
      </c>
      <c r="T54" s="393"/>
      <c r="U54" s="153"/>
      <c r="V54" s="390">
        <f t="shared" si="3"/>
        <v>-260</v>
      </c>
      <c r="W54" s="391"/>
      <c r="X54" s="399"/>
      <c r="Y54" s="179"/>
    </row>
    <row r="55" spans="1:25">
      <c r="A55" s="35">
        <f t="shared" si="0"/>
        <v>54</v>
      </c>
      <c r="B55" s="89"/>
      <c r="C55" s="221" t="s">
        <v>58</v>
      </c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228">
        <f>354+242+710</f>
        <v>1306</v>
      </c>
      <c r="Q55" s="393"/>
      <c r="R55" s="394"/>
      <c r="S55" s="228">
        <v>2141</v>
      </c>
      <c r="T55" s="393"/>
      <c r="U55" s="153"/>
      <c r="V55" s="390">
        <f t="shared" si="3"/>
        <v>-835</v>
      </c>
      <c r="W55" s="391"/>
      <c r="X55" s="399"/>
      <c r="Y55" s="179"/>
    </row>
    <row r="56" spans="1:25">
      <c r="A56" s="35">
        <f t="shared" si="0"/>
        <v>55</v>
      </c>
      <c r="B56" s="319"/>
      <c r="C56" s="221" t="s">
        <v>90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228">
        <f>336+1175</f>
        <v>1511</v>
      </c>
      <c r="Q56" s="393"/>
      <c r="R56" s="394"/>
      <c r="S56" s="228">
        <v>2000</v>
      </c>
      <c r="T56" s="393"/>
      <c r="U56" s="153"/>
      <c r="V56" s="390">
        <f t="shared" si="3"/>
        <v>-489</v>
      </c>
      <c r="W56" s="391"/>
      <c r="X56" s="399"/>
      <c r="Y56" s="179"/>
    </row>
    <row r="57" spans="1:25">
      <c r="A57" s="35">
        <f t="shared" si="0"/>
        <v>56</v>
      </c>
      <c r="B57" s="89"/>
      <c r="C57" s="221" t="s">
        <v>60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228">
        <f>1038+2950</f>
        <v>3988</v>
      </c>
      <c r="Q57" s="393"/>
      <c r="R57" s="394"/>
      <c r="S57" s="228">
        <v>3200</v>
      </c>
      <c r="T57" s="393"/>
      <c r="U57" s="153"/>
      <c r="V57" s="390">
        <f t="shared" si="3"/>
        <v>788</v>
      </c>
      <c r="W57" s="391"/>
      <c r="X57" s="399"/>
      <c r="Y57" s="179"/>
    </row>
    <row r="58" spans="1:25">
      <c r="A58" s="35">
        <f t="shared" si="0"/>
        <v>57</v>
      </c>
      <c r="B58" s="89"/>
      <c r="C58" s="221" t="s">
        <v>61</v>
      </c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229"/>
      <c r="Q58" s="393"/>
      <c r="R58" s="394"/>
      <c r="S58" s="228">
        <v>0</v>
      </c>
      <c r="T58" s="393"/>
      <c r="U58" s="153"/>
      <c r="V58" s="390">
        <f t="shared" si="3"/>
        <v>0</v>
      </c>
      <c r="W58" s="391"/>
      <c r="X58" s="399"/>
      <c r="Y58" s="179"/>
    </row>
    <row r="59" spans="1:25">
      <c r="A59" s="35">
        <f t="shared" si="0"/>
        <v>58</v>
      </c>
      <c r="B59" s="89"/>
      <c r="C59" s="221" t="s">
        <v>62</v>
      </c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229">
        <v>842</v>
      </c>
      <c r="Q59" s="393"/>
      <c r="R59" s="394"/>
      <c r="S59" s="228">
        <v>842</v>
      </c>
      <c r="T59" s="393"/>
      <c r="U59" s="153"/>
      <c r="V59" s="390">
        <f t="shared" si="3"/>
        <v>0</v>
      </c>
      <c r="W59" s="391"/>
      <c r="X59" s="399"/>
      <c r="Y59" s="179"/>
    </row>
    <row r="60" spans="1:25">
      <c r="A60" s="35">
        <f t="shared" si="0"/>
        <v>59</v>
      </c>
      <c r="B60" s="89"/>
      <c r="C60" s="221" t="s">
        <v>63</v>
      </c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417">
        <v>66</v>
      </c>
      <c r="Q60" s="393"/>
      <c r="R60" s="394"/>
      <c r="S60" s="228">
        <v>217</v>
      </c>
      <c r="T60" s="393"/>
      <c r="U60" s="153"/>
      <c r="V60" s="390">
        <f t="shared" si="3"/>
        <v>-151</v>
      </c>
      <c r="W60" s="391"/>
      <c r="X60" s="399"/>
      <c r="Y60" s="179"/>
    </row>
    <row r="61" spans="1:25">
      <c r="A61" s="35">
        <f t="shared" si="0"/>
        <v>60</v>
      </c>
      <c r="B61" s="89"/>
      <c r="C61" s="221" t="s">
        <v>64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229">
        <f>16-80</f>
        <v>-64</v>
      </c>
      <c r="Q61" s="393"/>
      <c r="R61" s="394"/>
      <c r="S61" s="228">
        <v>429</v>
      </c>
      <c r="T61" s="393"/>
      <c r="U61" s="153"/>
      <c r="V61" s="390">
        <f t="shared" si="3"/>
        <v>-493</v>
      </c>
      <c r="W61" s="391"/>
      <c r="X61" s="399"/>
      <c r="Y61" s="179"/>
    </row>
    <row r="62" spans="1:25">
      <c r="A62" s="35">
        <f t="shared" si="0"/>
        <v>61</v>
      </c>
      <c r="B62" s="319"/>
      <c r="C62" s="221" t="s">
        <v>65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417">
        <f>1722+392+234</f>
        <v>2348</v>
      </c>
      <c r="Q62" s="393"/>
      <c r="R62" s="394"/>
      <c r="S62" s="228">
        <v>2234</v>
      </c>
      <c r="T62" s="393"/>
      <c r="U62" s="153"/>
      <c r="V62" s="390">
        <f t="shared" si="3"/>
        <v>114</v>
      </c>
      <c r="W62" s="391"/>
      <c r="X62" s="399"/>
      <c r="Y62" s="179"/>
    </row>
    <row r="63" spans="1:25">
      <c r="A63" s="35">
        <f t="shared" si="0"/>
        <v>62</v>
      </c>
      <c r="B63" s="89"/>
      <c r="C63" s="221" t="s">
        <v>41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229"/>
      <c r="Q63" s="393"/>
      <c r="R63" s="394"/>
      <c r="S63" s="228">
        <v>629</v>
      </c>
      <c r="T63" s="393"/>
      <c r="U63" s="153"/>
      <c r="V63" s="390">
        <f t="shared" si="3"/>
        <v>-629</v>
      </c>
      <c r="W63" s="391"/>
      <c r="X63" s="399"/>
      <c r="Y63" s="179"/>
    </row>
    <row r="64" spans="1:25">
      <c r="A64" s="35">
        <f t="shared" si="0"/>
        <v>63</v>
      </c>
      <c r="B64" s="89"/>
      <c r="C64" s="221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228"/>
      <c r="Q64" s="393"/>
      <c r="R64" s="394"/>
      <c r="S64" s="228"/>
      <c r="T64" s="393"/>
      <c r="U64" s="153"/>
      <c r="V64" s="390"/>
      <c r="W64" s="391"/>
      <c r="X64" s="399"/>
      <c r="Y64" s="179"/>
    </row>
    <row r="65" spans="1:25">
      <c r="A65" s="35">
        <f t="shared" si="0"/>
        <v>64</v>
      </c>
      <c r="B65" s="319" t="s">
        <v>66</v>
      </c>
      <c r="C65" s="221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228"/>
      <c r="Q65" s="188">
        <f>SUM(P66:P72)</f>
        <v>231308</v>
      </c>
      <c r="R65" s="400"/>
      <c r="S65" s="228"/>
      <c r="T65" s="188">
        <f>SUM(S66:S72)</f>
        <v>232752</v>
      </c>
      <c r="U65" s="153"/>
      <c r="V65" s="390"/>
      <c r="W65" s="391">
        <f>SUM(V66:V72)</f>
        <v>-1444</v>
      </c>
      <c r="X65" s="401"/>
      <c r="Y65" s="179"/>
    </row>
    <row r="66" spans="1:25">
      <c r="A66" s="35">
        <f t="shared" si="0"/>
        <v>65</v>
      </c>
      <c r="B66" s="89"/>
      <c r="C66" s="221" t="s">
        <v>67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228">
        <v>65077</v>
      </c>
      <c r="Q66" s="393"/>
      <c r="R66" s="394"/>
      <c r="S66" s="228">
        <v>65077</v>
      </c>
      <c r="T66" s="393"/>
      <c r="U66" s="153"/>
      <c r="V66" s="406">
        <f t="shared" ref="V66:V71" si="4">+P66-S66</f>
        <v>0</v>
      </c>
      <c r="W66" s="391"/>
      <c r="X66" s="399"/>
      <c r="Y66" s="179"/>
    </row>
    <row r="67" spans="1:25">
      <c r="A67" s="35">
        <f t="shared" si="0"/>
        <v>66</v>
      </c>
      <c r="B67" s="89"/>
      <c r="C67" s="221" t="s">
        <v>68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228">
        <v>54686</v>
      </c>
      <c r="Q67" s="393"/>
      <c r="R67" s="394"/>
      <c r="S67" s="228">
        <v>54686</v>
      </c>
      <c r="T67" s="393"/>
      <c r="U67" s="153"/>
      <c r="V67" s="406">
        <f t="shared" si="4"/>
        <v>0</v>
      </c>
      <c r="W67" s="391"/>
      <c r="X67" s="399"/>
      <c r="Y67" s="179"/>
    </row>
    <row r="68" spans="1:25">
      <c r="A68" s="35">
        <f t="shared" ref="A68:A81" si="5">+A67+1</f>
        <v>67</v>
      </c>
      <c r="B68" s="89"/>
      <c r="C68" s="221" t="s">
        <v>69</v>
      </c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228">
        <v>61034</v>
      </c>
      <c r="Q68" s="393"/>
      <c r="R68" s="394"/>
      <c r="S68" s="228">
        <v>61034</v>
      </c>
      <c r="T68" s="393"/>
      <c r="U68" s="164"/>
      <c r="V68" s="406">
        <f t="shared" si="4"/>
        <v>0</v>
      </c>
      <c r="W68" s="391"/>
      <c r="X68" s="399"/>
      <c r="Y68" s="179"/>
    </row>
    <row r="69" spans="1:25">
      <c r="A69" s="35">
        <f t="shared" si="5"/>
        <v>68</v>
      </c>
      <c r="B69" s="319"/>
      <c r="C69" s="221" t="s">
        <v>70</v>
      </c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228">
        <f>5721+400</f>
        <v>6121</v>
      </c>
      <c r="Q69" s="393"/>
      <c r="R69" s="394"/>
      <c r="S69" s="228">
        <v>7500</v>
      </c>
      <c r="T69" s="393"/>
      <c r="U69" s="164"/>
      <c r="V69" s="406">
        <f t="shared" si="4"/>
        <v>-1379</v>
      </c>
      <c r="W69" s="391"/>
      <c r="X69" s="399"/>
      <c r="Y69" s="179"/>
    </row>
    <row r="70" spans="1:25">
      <c r="A70" s="35">
        <f t="shared" si="5"/>
        <v>69</v>
      </c>
      <c r="B70" s="89"/>
      <c r="C70" s="221" t="s">
        <v>71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228">
        <f>15361+168+648+322-1</f>
        <v>16498</v>
      </c>
      <c r="Q70" s="393"/>
      <c r="R70" s="394"/>
      <c r="S70" s="228">
        <v>16564</v>
      </c>
      <c r="T70" s="393"/>
      <c r="U70" s="164"/>
      <c r="V70" s="406">
        <f t="shared" si="4"/>
        <v>-66</v>
      </c>
      <c r="W70" s="391"/>
      <c r="X70" s="399"/>
      <c r="Y70" s="179"/>
    </row>
    <row r="71" spans="1:25">
      <c r="A71" s="35">
        <f t="shared" si="5"/>
        <v>70</v>
      </c>
      <c r="B71" s="89"/>
      <c r="C71" s="221" t="s">
        <v>72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228">
        <v>2892</v>
      </c>
      <c r="Q71" s="393"/>
      <c r="R71" s="394"/>
      <c r="S71" s="228">
        <v>2891</v>
      </c>
      <c r="T71" s="393"/>
      <c r="U71" s="153"/>
      <c r="V71" s="406">
        <f t="shared" si="4"/>
        <v>1</v>
      </c>
      <c r="W71" s="391"/>
      <c r="X71" s="399"/>
      <c r="Y71" s="179"/>
    </row>
    <row r="72" spans="1:25">
      <c r="A72" s="35">
        <f t="shared" si="5"/>
        <v>71</v>
      </c>
      <c r="B72" s="89"/>
      <c r="C72" s="88" t="s">
        <v>119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420">
        <v>25000</v>
      </c>
      <c r="Q72" s="421"/>
      <c r="R72" s="178"/>
      <c r="S72" s="420">
        <v>25000</v>
      </c>
      <c r="T72" s="422"/>
      <c r="U72" s="153"/>
      <c r="V72" s="390"/>
      <c r="W72" s="391"/>
      <c r="X72" s="399"/>
      <c r="Y72" s="179"/>
    </row>
    <row r="73" spans="1:25" ht="15" thickBot="1">
      <c r="A73" s="35">
        <f t="shared" si="5"/>
        <v>72</v>
      </c>
      <c r="B73" s="423"/>
      <c r="C73" s="205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405"/>
      <c r="Q73" s="253"/>
      <c r="R73" s="402"/>
      <c r="S73" s="405"/>
      <c r="T73" s="253"/>
      <c r="U73" s="153"/>
      <c r="V73" s="424"/>
      <c r="W73" s="403"/>
      <c r="X73" s="399"/>
      <c r="Y73" s="179"/>
    </row>
    <row r="74" spans="1:25" ht="15" thickBot="1">
      <c r="A74" s="35">
        <f t="shared" si="5"/>
        <v>73</v>
      </c>
      <c r="B74" s="126" t="s">
        <v>120</v>
      </c>
      <c r="C74" s="425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408"/>
      <c r="Q74" s="197">
        <f>SUM(Q31:Q73)</f>
        <v>470566</v>
      </c>
      <c r="R74" s="389"/>
      <c r="S74" s="408"/>
      <c r="T74" s="197">
        <f>SUM(T31:T73)</f>
        <v>467833</v>
      </c>
      <c r="U74" s="164"/>
      <c r="V74" s="426"/>
      <c r="W74" s="410">
        <f>SUM(W31:W73)</f>
        <v>2733</v>
      </c>
      <c r="X74" s="411"/>
      <c r="Y74" s="412">
        <f>+Q74-T74</f>
        <v>2733</v>
      </c>
    </row>
    <row r="75" spans="1:25">
      <c r="A75" s="35">
        <f t="shared" si="5"/>
        <v>74</v>
      </c>
      <c r="B75" s="323"/>
      <c r="C75" s="252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427"/>
      <c r="Q75" s="428"/>
      <c r="R75" s="402"/>
      <c r="S75" s="427"/>
      <c r="T75" s="428"/>
      <c r="U75" s="164"/>
      <c r="V75" s="429"/>
      <c r="W75" s="403"/>
      <c r="X75" s="399"/>
      <c r="Y75" s="179"/>
    </row>
    <row r="76" spans="1:25">
      <c r="A76" s="35">
        <f t="shared" si="5"/>
        <v>75</v>
      </c>
      <c r="B76" s="327" t="s">
        <v>121</v>
      </c>
      <c r="C76" s="206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430"/>
      <c r="Q76" s="431">
        <f>+Q28-Q74</f>
        <v>-24780</v>
      </c>
      <c r="R76" s="432"/>
      <c r="S76" s="430"/>
      <c r="T76" s="431">
        <f>+T28-T74</f>
        <v>-16849</v>
      </c>
      <c r="U76" s="207"/>
      <c r="V76" s="433"/>
      <c r="W76" s="434">
        <f>+W28-W74</f>
        <v>-7931</v>
      </c>
      <c r="X76" s="435"/>
      <c r="Y76" s="412">
        <f>+Q76-T76</f>
        <v>-7931</v>
      </c>
    </row>
    <row r="77" spans="1:25" s="442" customFormat="1">
      <c r="A77" s="35">
        <f t="shared" si="5"/>
        <v>76</v>
      </c>
      <c r="B77" s="436" t="s">
        <v>122</v>
      </c>
      <c r="C77" s="437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0"/>
      <c r="Q77" s="439">
        <v>3333</v>
      </c>
      <c r="R77" s="432"/>
      <c r="S77" s="430"/>
      <c r="T77" s="439">
        <v>0</v>
      </c>
      <c r="U77" s="438"/>
      <c r="V77" s="433"/>
      <c r="W77" s="440">
        <f>+Q77-T77</f>
        <v>3333</v>
      </c>
      <c r="X77" s="435"/>
      <c r="Y77" s="441"/>
    </row>
    <row r="78" spans="1:25">
      <c r="A78" s="35">
        <f t="shared" si="5"/>
        <v>77</v>
      </c>
      <c r="B78" s="327" t="s">
        <v>123</v>
      </c>
      <c r="C78" s="206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430"/>
      <c r="Q78" s="443">
        <f>+Q76+Q77</f>
        <v>-21447</v>
      </c>
      <c r="R78" s="432"/>
      <c r="S78" s="430"/>
      <c r="T78" s="443">
        <f>+T76+T77</f>
        <v>-16849</v>
      </c>
      <c r="U78" s="207"/>
      <c r="V78" s="433"/>
      <c r="W78" s="444">
        <f>SUM(W76:W77)</f>
        <v>-4598</v>
      </c>
      <c r="X78" s="435"/>
      <c r="Y78" s="412">
        <f>+Q78-T78</f>
        <v>-4598</v>
      </c>
    </row>
    <row r="79" spans="1:25">
      <c r="A79" s="35">
        <f t="shared" si="5"/>
        <v>78</v>
      </c>
      <c r="B79" s="333"/>
      <c r="C79" s="252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430"/>
      <c r="Q79" s="445"/>
      <c r="R79" s="446"/>
      <c r="S79" s="430"/>
      <c r="T79" s="445"/>
      <c r="U79" s="164"/>
      <c r="V79" s="433"/>
      <c r="W79" s="440"/>
      <c r="X79" s="416"/>
      <c r="Y79" s="179"/>
    </row>
    <row r="80" spans="1:25" ht="15" thickBot="1">
      <c r="A80" s="35">
        <f t="shared" si="5"/>
        <v>79</v>
      </c>
      <c r="B80" s="333" t="s">
        <v>124</v>
      </c>
      <c r="C80" s="252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332"/>
      <c r="Q80" s="447">
        <v>-34135</v>
      </c>
      <c r="R80" s="80"/>
      <c r="S80" s="332"/>
      <c r="T80" s="448">
        <v>-19727</v>
      </c>
      <c r="U80" s="164"/>
      <c r="V80" s="433"/>
      <c r="W80" s="440">
        <f>+Q80-T80</f>
        <v>-14408</v>
      </c>
      <c r="X80" s="449"/>
      <c r="Y80" s="412">
        <f>+Q80-T80</f>
        <v>-14408</v>
      </c>
    </row>
    <row r="81" spans="1:25" ht="15" thickBot="1">
      <c r="A81" s="35">
        <f t="shared" si="5"/>
        <v>80</v>
      </c>
      <c r="B81" s="320" t="s">
        <v>125</v>
      </c>
      <c r="C81" s="341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450"/>
      <c r="Q81" s="345">
        <f>SUM(Q78:Q80)</f>
        <v>-55582</v>
      </c>
      <c r="R81" s="451"/>
      <c r="S81" s="450"/>
      <c r="T81" s="345">
        <f>SUM(T78:T80)</f>
        <v>-36576</v>
      </c>
      <c r="U81" s="207"/>
      <c r="V81" s="452"/>
      <c r="W81" s="453">
        <f>SUM(W78:W80)</f>
        <v>-19006</v>
      </c>
      <c r="X81" s="454"/>
      <c r="Y81" s="412">
        <f>+Q81-T81</f>
        <v>-19006</v>
      </c>
    </row>
    <row r="82" spans="1:25">
      <c r="A82" s="35"/>
      <c r="B82" s="189"/>
      <c r="C82" s="211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455"/>
      <c r="Q82" s="456"/>
      <c r="R82" s="218"/>
      <c r="S82" s="457"/>
      <c r="T82" s="458"/>
      <c r="U82" s="17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30"/>
  <sheetViews>
    <sheetView topLeftCell="A55" workbookViewId="0">
      <selection activeCell="B77" sqref="B77"/>
    </sheetView>
  </sheetViews>
  <sheetFormatPr baseColWidth="10" defaultColWidth="8.83203125" defaultRowHeight="14" x14ac:dyDescent="0"/>
  <cols>
    <col min="1" max="1" width="4" style="35" customWidth="1"/>
    <col min="2" max="2" width="22" style="169" customWidth="1"/>
    <col min="3" max="3" width="37.6640625" style="153" customWidth="1"/>
    <col min="4" max="4" width="3" style="153" customWidth="1"/>
    <col min="5" max="5" width="13.6640625" style="220" hidden="1" customWidth="1"/>
    <col min="6" max="6" width="14" style="219" hidden="1" customWidth="1"/>
    <col min="7" max="7" width="6.5" style="153" hidden="1" customWidth="1"/>
    <col min="8" max="8" width="9.5" style="42" customWidth="1"/>
    <col min="9" max="9" width="10.33203125" style="42" customWidth="1"/>
    <col min="10" max="10" width="1.83203125" style="42" customWidth="1"/>
    <col min="11" max="11" width="10.5" style="368" customWidth="1"/>
    <col min="12" max="12" width="9.6640625" style="162" customWidth="1"/>
    <col min="13" max="13" width="2.6640625" style="469" customWidth="1"/>
    <col min="14" max="14" width="9.5" style="469" customWidth="1"/>
    <col min="15" max="15" width="9.33203125" style="469" customWidth="1"/>
    <col min="16" max="16" width="1.83203125" style="469" customWidth="1"/>
    <col min="17" max="17" width="9.33203125" style="368" customWidth="1"/>
    <col min="18" max="18" width="10.33203125" style="162" customWidth="1"/>
    <col min="19" max="19" width="4" style="35" customWidth="1"/>
    <col min="20" max="131" width="8.83203125" style="174"/>
    <col min="254" max="254" width="33" customWidth="1"/>
    <col min="255" max="255" width="47.33203125" customWidth="1"/>
    <col min="256" max="256" width="3" customWidth="1"/>
    <col min="257" max="258" width="17.1640625" customWidth="1"/>
    <col min="259" max="259" width="12.33203125" customWidth="1"/>
    <col min="260" max="260" width="14.33203125" customWidth="1"/>
    <col min="261" max="261" width="2.5" customWidth="1"/>
    <col min="262" max="262" width="0" hidden="1" customWidth="1"/>
    <col min="263" max="263" width="12" customWidth="1"/>
    <col min="264" max="264" width="2.83203125" customWidth="1"/>
    <col min="265" max="265" width="10.6640625" customWidth="1"/>
    <col min="266" max="266" width="16.5" customWidth="1"/>
    <col min="267" max="267" width="41.83203125" customWidth="1"/>
    <col min="268" max="268" width="4" customWidth="1"/>
    <col min="269" max="269" width="11.5" customWidth="1"/>
    <col min="510" max="510" width="33" customWidth="1"/>
    <col min="511" max="511" width="47.33203125" customWidth="1"/>
    <col min="512" max="512" width="3" customWidth="1"/>
    <col min="513" max="514" width="17.1640625" customWidth="1"/>
    <col min="515" max="515" width="12.33203125" customWidth="1"/>
    <col min="516" max="516" width="14.33203125" customWidth="1"/>
    <col min="517" max="517" width="2.5" customWidth="1"/>
    <col min="518" max="518" width="0" hidden="1" customWidth="1"/>
    <col min="519" max="519" width="12" customWidth="1"/>
    <col min="520" max="520" width="2.83203125" customWidth="1"/>
    <col min="521" max="521" width="10.6640625" customWidth="1"/>
    <col min="522" max="522" width="16.5" customWidth="1"/>
    <col min="523" max="523" width="41.83203125" customWidth="1"/>
    <col min="524" max="524" width="4" customWidth="1"/>
    <col min="525" max="525" width="11.5" customWidth="1"/>
    <col min="766" max="766" width="33" customWidth="1"/>
    <col min="767" max="767" width="47.33203125" customWidth="1"/>
    <col min="768" max="768" width="3" customWidth="1"/>
    <col min="769" max="770" width="17.1640625" customWidth="1"/>
    <col min="771" max="771" width="12.33203125" customWidth="1"/>
    <col min="772" max="772" width="14.33203125" customWidth="1"/>
    <col min="773" max="773" width="2.5" customWidth="1"/>
    <col min="774" max="774" width="0" hidden="1" customWidth="1"/>
    <col min="775" max="775" width="12" customWidth="1"/>
    <col min="776" max="776" width="2.83203125" customWidth="1"/>
    <col min="777" max="777" width="10.6640625" customWidth="1"/>
    <col min="778" max="778" width="16.5" customWidth="1"/>
    <col min="779" max="779" width="41.83203125" customWidth="1"/>
    <col min="780" max="780" width="4" customWidth="1"/>
    <col min="781" max="781" width="11.5" customWidth="1"/>
    <col min="1022" max="1022" width="33" customWidth="1"/>
    <col min="1023" max="1023" width="47.33203125" customWidth="1"/>
    <col min="1024" max="1024" width="3" customWidth="1"/>
    <col min="1025" max="1026" width="17.1640625" customWidth="1"/>
    <col min="1027" max="1027" width="12.33203125" customWidth="1"/>
    <col min="1028" max="1028" width="14.33203125" customWidth="1"/>
    <col min="1029" max="1029" width="2.5" customWidth="1"/>
    <col min="1030" max="1030" width="0" hidden="1" customWidth="1"/>
    <col min="1031" max="1031" width="12" customWidth="1"/>
    <col min="1032" max="1032" width="2.83203125" customWidth="1"/>
    <col min="1033" max="1033" width="10.6640625" customWidth="1"/>
    <col min="1034" max="1034" width="16.5" customWidth="1"/>
    <col min="1035" max="1035" width="41.83203125" customWidth="1"/>
    <col min="1036" max="1036" width="4" customWidth="1"/>
    <col min="1037" max="1037" width="11.5" customWidth="1"/>
    <col min="1278" max="1278" width="33" customWidth="1"/>
    <col min="1279" max="1279" width="47.33203125" customWidth="1"/>
    <col min="1280" max="1280" width="3" customWidth="1"/>
    <col min="1281" max="1282" width="17.1640625" customWidth="1"/>
    <col min="1283" max="1283" width="12.33203125" customWidth="1"/>
    <col min="1284" max="1284" width="14.33203125" customWidth="1"/>
    <col min="1285" max="1285" width="2.5" customWidth="1"/>
    <col min="1286" max="1286" width="0" hidden="1" customWidth="1"/>
    <col min="1287" max="1287" width="12" customWidth="1"/>
    <col min="1288" max="1288" width="2.83203125" customWidth="1"/>
    <col min="1289" max="1289" width="10.6640625" customWidth="1"/>
    <col min="1290" max="1290" width="16.5" customWidth="1"/>
    <col min="1291" max="1291" width="41.83203125" customWidth="1"/>
    <col min="1292" max="1292" width="4" customWidth="1"/>
    <col min="1293" max="1293" width="11.5" customWidth="1"/>
    <col min="1534" max="1534" width="33" customWidth="1"/>
    <col min="1535" max="1535" width="47.33203125" customWidth="1"/>
    <col min="1536" max="1536" width="3" customWidth="1"/>
    <col min="1537" max="1538" width="17.1640625" customWidth="1"/>
    <col min="1539" max="1539" width="12.33203125" customWidth="1"/>
    <col min="1540" max="1540" width="14.33203125" customWidth="1"/>
    <col min="1541" max="1541" width="2.5" customWidth="1"/>
    <col min="1542" max="1542" width="0" hidden="1" customWidth="1"/>
    <col min="1543" max="1543" width="12" customWidth="1"/>
    <col min="1544" max="1544" width="2.83203125" customWidth="1"/>
    <col min="1545" max="1545" width="10.6640625" customWidth="1"/>
    <col min="1546" max="1546" width="16.5" customWidth="1"/>
    <col min="1547" max="1547" width="41.83203125" customWidth="1"/>
    <col min="1548" max="1548" width="4" customWidth="1"/>
    <col min="1549" max="1549" width="11.5" customWidth="1"/>
    <col min="1790" max="1790" width="33" customWidth="1"/>
    <col min="1791" max="1791" width="47.33203125" customWidth="1"/>
    <col min="1792" max="1792" width="3" customWidth="1"/>
    <col min="1793" max="1794" width="17.1640625" customWidth="1"/>
    <col min="1795" max="1795" width="12.33203125" customWidth="1"/>
    <col min="1796" max="1796" width="14.33203125" customWidth="1"/>
    <col min="1797" max="1797" width="2.5" customWidth="1"/>
    <col min="1798" max="1798" width="0" hidden="1" customWidth="1"/>
    <col min="1799" max="1799" width="12" customWidth="1"/>
    <col min="1800" max="1800" width="2.83203125" customWidth="1"/>
    <col min="1801" max="1801" width="10.6640625" customWidth="1"/>
    <col min="1802" max="1802" width="16.5" customWidth="1"/>
    <col min="1803" max="1803" width="41.83203125" customWidth="1"/>
    <col min="1804" max="1804" width="4" customWidth="1"/>
    <col min="1805" max="1805" width="11.5" customWidth="1"/>
    <col min="2046" max="2046" width="33" customWidth="1"/>
    <col min="2047" max="2047" width="47.33203125" customWidth="1"/>
    <col min="2048" max="2048" width="3" customWidth="1"/>
    <col min="2049" max="2050" width="17.1640625" customWidth="1"/>
    <col min="2051" max="2051" width="12.33203125" customWidth="1"/>
    <col min="2052" max="2052" width="14.33203125" customWidth="1"/>
    <col min="2053" max="2053" width="2.5" customWidth="1"/>
    <col min="2054" max="2054" width="0" hidden="1" customWidth="1"/>
    <col min="2055" max="2055" width="12" customWidth="1"/>
    <col min="2056" max="2056" width="2.83203125" customWidth="1"/>
    <col min="2057" max="2057" width="10.6640625" customWidth="1"/>
    <col min="2058" max="2058" width="16.5" customWidth="1"/>
    <col min="2059" max="2059" width="41.83203125" customWidth="1"/>
    <col min="2060" max="2060" width="4" customWidth="1"/>
    <col min="2061" max="2061" width="11.5" customWidth="1"/>
    <col min="2302" max="2302" width="33" customWidth="1"/>
    <col min="2303" max="2303" width="47.33203125" customWidth="1"/>
    <col min="2304" max="2304" width="3" customWidth="1"/>
    <col min="2305" max="2306" width="17.1640625" customWidth="1"/>
    <col min="2307" max="2307" width="12.33203125" customWidth="1"/>
    <col min="2308" max="2308" width="14.33203125" customWidth="1"/>
    <col min="2309" max="2309" width="2.5" customWidth="1"/>
    <col min="2310" max="2310" width="0" hidden="1" customWidth="1"/>
    <col min="2311" max="2311" width="12" customWidth="1"/>
    <col min="2312" max="2312" width="2.83203125" customWidth="1"/>
    <col min="2313" max="2313" width="10.6640625" customWidth="1"/>
    <col min="2314" max="2314" width="16.5" customWidth="1"/>
    <col min="2315" max="2315" width="41.83203125" customWidth="1"/>
    <col min="2316" max="2316" width="4" customWidth="1"/>
    <col min="2317" max="2317" width="11.5" customWidth="1"/>
    <col min="2558" max="2558" width="33" customWidth="1"/>
    <col min="2559" max="2559" width="47.33203125" customWidth="1"/>
    <col min="2560" max="2560" width="3" customWidth="1"/>
    <col min="2561" max="2562" width="17.1640625" customWidth="1"/>
    <col min="2563" max="2563" width="12.33203125" customWidth="1"/>
    <col min="2564" max="2564" width="14.33203125" customWidth="1"/>
    <col min="2565" max="2565" width="2.5" customWidth="1"/>
    <col min="2566" max="2566" width="0" hidden="1" customWidth="1"/>
    <col min="2567" max="2567" width="12" customWidth="1"/>
    <col min="2568" max="2568" width="2.83203125" customWidth="1"/>
    <col min="2569" max="2569" width="10.6640625" customWidth="1"/>
    <col min="2570" max="2570" width="16.5" customWidth="1"/>
    <col min="2571" max="2571" width="41.83203125" customWidth="1"/>
    <col min="2572" max="2572" width="4" customWidth="1"/>
    <col min="2573" max="2573" width="11.5" customWidth="1"/>
    <col min="2814" max="2814" width="33" customWidth="1"/>
    <col min="2815" max="2815" width="47.33203125" customWidth="1"/>
    <col min="2816" max="2816" width="3" customWidth="1"/>
    <col min="2817" max="2818" width="17.1640625" customWidth="1"/>
    <col min="2819" max="2819" width="12.33203125" customWidth="1"/>
    <col min="2820" max="2820" width="14.33203125" customWidth="1"/>
    <col min="2821" max="2821" width="2.5" customWidth="1"/>
    <col min="2822" max="2822" width="0" hidden="1" customWidth="1"/>
    <col min="2823" max="2823" width="12" customWidth="1"/>
    <col min="2824" max="2824" width="2.83203125" customWidth="1"/>
    <col min="2825" max="2825" width="10.6640625" customWidth="1"/>
    <col min="2826" max="2826" width="16.5" customWidth="1"/>
    <col min="2827" max="2827" width="41.83203125" customWidth="1"/>
    <col min="2828" max="2828" width="4" customWidth="1"/>
    <col min="2829" max="2829" width="11.5" customWidth="1"/>
    <col min="3070" max="3070" width="33" customWidth="1"/>
    <col min="3071" max="3071" width="47.33203125" customWidth="1"/>
    <col min="3072" max="3072" width="3" customWidth="1"/>
    <col min="3073" max="3074" width="17.1640625" customWidth="1"/>
    <col min="3075" max="3075" width="12.33203125" customWidth="1"/>
    <col min="3076" max="3076" width="14.33203125" customWidth="1"/>
    <col min="3077" max="3077" width="2.5" customWidth="1"/>
    <col min="3078" max="3078" width="0" hidden="1" customWidth="1"/>
    <col min="3079" max="3079" width="12" customWidth="1"/>
    <col min="3080" max="3080" width="2.83203125" customWidth="1"/>
    <col min="3081" max="3081" width="10.6640625" customWidth="1"/>
    <col min="3082" max="3082" width="16.5" customWidth="1"/>
    <col min="3083" max="3083" width="41.83203125" customWidth="1"/>
    <col min="3084" max="3084" width="4" customWidth="1"/>
    <col min="3085" max="3085" width="11.5" customWidth="1"/>
    <col min="3326" max="3326" width="33" customWidth="1"/>
    <col min="3327" max="3327" width="47.33203125" customWidth="1"/>
    <col min="3328" max="3328" width="3" customWidth="1"/>
    <col min="3329" max="3330" width="17.1640625" customWidth="1"/>
    <col min="3331" max="3331" width="12.33203125" customWidth="1"/>
    <col min="3332" max="3332" width="14.33203125" customWidth="1"/>
    <col min="3333" max="3333" width="2.5" customWidth="1"/>
    <col min="3334" max="3334" width="0" hidden="1" customWidth="1"/>
    <col min="3335" max="3335" width="12" customWidth="1"/>
    <col min="3336" max="3336" width="2.83203125" customWidth="1"/>
    <col min="3337" max="3337" width="10.6640625" customWidth="1"/>
    <col min="3338" max="3338" width="16.5" customWidth="1"/>
    <col min="3339" max="3339" width="41.83203125" customWidth="1"/>
    <col min="3340" max="3340" width="4" customWidth="1"/>
    <col min="3341" max="3341" width="11.5" customWidth="1"/>
    <col min="3582" max="3582" width="33" customWidth="1"/>
    <col min="3583" max="3583" width="47.33203125" customWidth="1"/>
    <col min="3584" max="3584" width="3" customWidth="1"/>
    <col min="3585" max="3586" width="17.1640625" customWidth="1"/>
    <col min="3587" max="3587" width="12.33203125" customWidth="1"/>
    <col min="3588" max="3588" width="14.33203125" customWidth="1"/>
    <col min="3589" max="3589" width="2.5" customWidth="1"/>
    <col min="3590" max="3590" width="0" hidden="1" customWidth="1"/>
    <col min="3591" max="3591" width="12" customWidth="1"/>
    <col min="3592" max="3592" width="2.83203125" customWidth="1"/>
    <col min="3593" max="3593" width="10.6640625" customWidth="1"/>
    <col min="3594" max="3594" width="16.5" customWidth="1"/>
    <col min="3595" max="3595" width="41.83203125" customWidth="1"/>
    <col min="3596" max="3596" width="4" customWidth="1"/>
    <col min="3597" max="3597" width="11.5" customWidth="1"/>
    <col min="3838" max="3838" width="33" customWidth="1"/>
    <col min="3839" max="3839" width="47.33203125" customWidth="1"/>
    <col min="3840" max="3840" width="3" customWidth="1"/>
    <col min="3841" max="3842" width="17.1640625" customWidth="1"/>
    <col min="3843" max="3843" width="12.33203125" customWidth="1"/>
    <col min="3844" max="3844" width="14.33203125" customWidth="1"/>
    <col min="3845" max="3845" width="2.5" customWidth="1"/>
    <col min="3846" max="3846" width="0" hidden="1" customWidth="1"/>
    <col min="3847" max="3847" width="12" customWidth="1"/>
    <col min="3848" max="3848" width="2.83203125" customWidth="1"/>
    <col min="3849" max="3849" width="10.6640625" customWidth="1"/>
    <col min="3850" max="3850" width="16.5" customWidth="1"/>
    <col min="3851" max="3851" width="41.83203125" customWidth="1"/>
    <col min="3852" max="3852" width="4" customWidth="1"/>
    <col min="3853" max="3853" width="11.5" customWidth="1"/>
    <col min="4094" max="4094" width="33" customWidth="1"/>
    <col min="4095" max="4095" width="47.33203125" customWidth="1"/>
    <col min="4096" max="4096" width="3" customWidth="1"/>
    <col min="4097" max="4098" width="17.1640625" customWidth="1"/>
    <col min="4099" max="4099" width="12.33203125" customWidth="1"/>
    <col min="4100" max="4100" width="14.33203125" customWidth="1"/>
    <col min="4101" max="4101" width="2.5" customWidth="1"/>
    <col min="4102" max="4102" width="0" hidden="1" customWidth="1"/>
    <col min="4103" max="4103" width="12" customWidth="1"/>
    <col min="4104" max="4104" width="2.83203125" customWidth="1"/>
    <col min="4105" max="4105" width="10.6640625" customWidth="1"/>
    <col min="4106" max="4106" width="16.5" customWidth="1"/>
    <col min="4107" max="4107" width="41.83203125" customWidth="1"/>
    <col min="4108" max="4108" width="4" customWidth="1"/>
    <col min="4109" max="4109" width="11.5" customWidth="1"/>
    <col min="4350" max="4350" width="33" customWidth="1"/>
    <col min="4351" max="4351" width="47.33203125" customWidth="1"/>
    <col min="4352" max="4352" width="3" customWidth="1"/>
    <col min="4353" max="4354" width="17.1640625" customWidth="1"/>
    <col min="4355" max="4355" width="12.33203125" customWidth="1"/>
    <col min="4356" max="4356" width="14.33203125" customWidth="1"/>
    <col min="4357" max="4357" width="2.5" customWidth="1"/>
    <col min="4358" max="4358" width="0" hidden="1" customWidth="1"/>
    <col min="4359" max="4359" width="12" customWidth="1"/>
    <col min="4360" max="4360" width="2.83203125" customWidth="1"/>
    <col min="4361" max="4361" width="10.6640625" customWidth="1"/>
    <col min="4362" max="4362" width="16.5" customWidth="1"/>
    <col min="4363" max="4363" width="41.83203125" customWidth="1"/>
    <col min="4364" max="4364" width="4" customWidth="1"/>
    <col min="4365" max="4365" width="11.5" customWidth="1"/>
    <col min="4606" max="4606" width="33" customWidth="1"/>
    <col min="4607" max="4607" width="47.33203125" customWidth="1"/>
    <col min="4608" max="4608" width="3" customWidth="1"/>
    <col min="4609" max="4610" width="17.1640625" customWidth="1"/>
    <col min="4611" max="4611" width="12.33203125" customWidth="1"/>
    <col min="4612" max="4612" width="14.33203125" customWidth="1"/>
    <col min="4613" max="4613" width="2.5" customWidth="1"/>
    <col min="4614" max="4614" width="0" hidden="1" customWidth="1"/>
    <col min="4615" max="4615" width="12" customWidth="1"/>
    <col min="4616" max="4616" width="2.83203125" customWidth="1"/>
    <col min="4617" max="4617" width="10.6640625" customWidth="1"/>
    <col min="4618" max="4618" width="16.5" customWidth="1"/>
    <col min="4619" max="4619" width="41.83203125" customWidth="1"/>
    <col min="4620" max="4620" width="4" customWidth="1"/>
    <col min="4621" max="4621" width="11.5" customWidth="1"/>
    <col min="4862" max="4862" width="33" customWidth="1"/>
    <col min="4863" max="4863" width="47.33203125" customWidth="1"/>
    <col min="4864" max="4864" width="3" customWidth="1"/>
    <col min="4865" max="4866" width="17.1640625" customWidth="1"/>
    <col min="4867" max="4867" width="12.33203125" customWidth="1"/>
    <col min="4868" max="4868" width="14.33203125" customWidth="1"/>
    <col min="4869" max="4869" width="2.5" customWidth="1"/>
    <col min="4870" max="4870" width="0" hidden="1" customWidth="1"/>
    <col min="4871" max="4871" width="12" customWidth="1"/>
    <col min="4872" max="4872" width="2.83203125" customWidth="1"/>
    <col min="4873" max="4873" width="10.6640625" customWidth="1"/>
    <col min="4874" max="4874" width="16.5" customWidth="1"/>
    <col min="4875" max="4875" width="41.83203125" customWidth="1"/>
    <col min="4876" max="4876" width="4" customWidth="1"/>
    <col min="4877" max="4877" width="11.5" customWidth="1"/>
    <col min="5118" max="5118" width="33" customWidth="1"/>
    <col min="5119" max="5119" width="47.33203125" customWidth="1"/>
    <col min="5120" max="5120" width="3" customWidth="1"/>
    <col min="5121" max="5122" width="17.1640625" customWidth="1"/>
    <col min="5123" max="5123" width="12.33203125" customWidth="1"/>
    <col min="5124" max="5124" width="14.33203125" customWidth="1"/>
    <col min="5125" max="5125" width="2.5" customWidth="1"/>
    <col min="5126" max="5126" width="0" hidden="1" customWidth="1"/>
    <col min="5127" max="5127" width="12" customWidth="1"/>
    <col min="5128" max="5128" width="2.83203125" customWidth="1"/>
    <col min="5129" max="5129" width="10.6640625" customWidth="1"/>
    <col min="5130" max="5130" width="16.5" customWidth="1"/>
    <col min="5131" max="5131" width="41.83203125" customWidth="1"/>
    <col min="5132" max="5132" width="4" customWidth="1"/>
    <col min="5133" max="5133" width="11.5" customWidth="1"/>
    <col min="5374" max="5374" width="33" customWidth="1"/>
    <col min="5375" max="5375" width="47.33203125" customWidth="1"/>
    <col min="5376" max="5376" width="3" customWidth="1"/>
    <col min="5377" max="5378" width="17.1640625" customWidth="1"/>
    <col min="5379" max="5379" width="12.33203125" customWidth="1"/>
    <col min="5380" max="5380" width="14.33203125" customWidth="1"/>
    <col min="5381" max="5381" width="2.5" customWidth="1"/>
    <col min="5382" max="5382" width="0" hidden="1" customWidth="1"/>
    <col min="5383" max="5383" width="12" customWidth="1"/>
    <col min="5384" max="5384" width="2.83203125" customWidth="1"/>
    <col min="5385" max="5385" width="10.6640625" customWidth="1"/>
    <col min="5386" max="5386" width="16.5" customWidth="1"/>
    <col min="5387" max="5387" width="41.83203125" customWidth="1"/>
    <col min="5388" max="5388" width="4" customWidth="1"/>
    <col min="5389" max="5389" width="11.5" customWidth="1"/>
    <col min="5630" max="5630" width="33" customWidth="1"/>
    <col min="5631" max="5631" width="47.33203125" customWidth="1"/>
    <col min="5632" max="5632" width="3" customWidth="1"/>
    <col min="5633" max="5634" width="17.1640625" customWidth="1"/>
    <col min="5635" max="5635" width="12.33203125" customWidth="1"/>
    <col min="5636" max="5636" width="14.33203125" customWidth="1"/>
    <col min="5637" max="5637" width="2.5" customWidth="1"/>
    <col min="5638" max="5638" width="0" hidden="1" customWidth="1"/>
    <col min="5639" max="5639" width="12" customWidth="1"/>
    <col min="5640" max="5640" width="2.83203125" customWidth="1"/>
    <col min="5641" max="5641" width="10.6640625" customWidth="1"/>
    <col min="5642" max="5642" width="16.5" customWidth="1"/>
    <col min="5643" max="5643" width="41.83203125" customWidth="1"/>
    <col min="5644" max="5644" width="4" customWidth="1"/>
    <col min="5645" max="5645" width="11.5" customWidth="1"/>
    <col min="5886" max="5886" width="33" customWidth="1"/>
    <col min="5887" max="5887" width="47.33203125" customWidth="1"/>
    <col min="5888" max="5888" width="3" customWidth="1"/>
    <col min="5889" max="5890" width="17.1640625" customWidth="1"/>
    <col min="5891" max="5891" width="12.33203125" customWidth="1"/>
    <col min="5892" max="5892" width="14.33203125" customWidth="1"/>
    <col min="5893" max="5893" width="2.5" customWidth="1"/>
    <col min="5894" max="5894" width="0" hidden="1" customWidth="1"/>
    <col min="5895" max="5895" width="12" customWidth="1"/>
    <col min="5896" max="5896" width="2.83203125" customWidth="1"/>
    <col min="5897" max="5897" width="10.6640625" customWidth="1"/>
    <col min="5898" max="5898" width="16.5" customWidth="1"/>
    <col min="5899" max="5899" width="41.83203125" customWidth="1"/>
    <col min="5900" max="5900" width="4" customWidth="1"/>
    <col min="5901" max="5901" width="11.5" customWidth="1"/>
    <col min="6142" max="6142" width="33" customWidth="1"/>
    <col min="6143" max="6143" width="47.33203125" customWidth="1"/>
    <col min="6144" max="6144" width="3" customWidth="1"/>
    <col min="6145" max="6146" width="17.1640625" customWidth="1"/>
    <col min="6147" max="6147" width="12.33203125" customWidth="1"/>
    <col min="6148" max="6148" width="14.33203125" customWidth="1"/>
    <col min="6149" max="6149" width="2.5" customWidth="1"/>
    <col min="6150" max="6150" width="0" hidden="1" customWidth="1"/>
    <col min="6151" max="6151" width="12" customWidth="1"/>
    <col min="6152" max="6152" width="2.83203125" customWidth="1"/>
    <col min="6153" max="6153" width="10.6640625" customWidth="1"/>
    <col min="6154" max="6154" width="16.5" customWidth="1"/>
    <col min="6155" max="6155" width="41.83203125" customWidth="1"/>
    <col min="6156" max="6156" width="4" customWidth="1"/>
    <col min="6157" max="6157" width="11.5" customWidth="1"/>
    <col min="6398" max="6398" width="33" customWidth="1"/>
    <col min="6399" max="6399" width="47.33203125" customWidth="1"/>
    <col min="6400" max="6400" width="3" customWidth="1"/>
    <col min="6401" max="6402" width="17.1640625" customWidth="1"/>
    <col min="6403" max="6403" width="12.33203125" customWidth="1"/>
    <col min="6404" max="6404" width="14.33203125" customWidth="1"/>
    <col min="6405" max="6405" width="2.5" customWidth="1"/>
    <col min="6406" max="6406" width="0" hidden="1" customWidth="1"/>
    <col min="6407" max="6407" width="12" customWidth="1"/>
    <col min="6408" max="6408" width="2.83203125" customWidth="1"/>
    <col min="6409" max="6409" width="10.6640625" customWidth="1"/>
    <col min="6410" max="6410" width="16.5" customWidth="1"/>
    <col min="6411" max="6411" width="41.83203125" customWidth="1"/>
    <col min="6412" max="6412" width="4" customWidth="1"/>
    <col min="6413" max="6413" width="11.5" customWidth="1"/>
    <col min="6654" max="6654" width="33" customWidth="1"/>
    <col min="6655" max="6655" width="47.33203125" customWidth="1"/>
    <col min="6656" max="6656" width="3" customWidth="1"/>
    <col min="6657" max="6658" width="17.1640625" customWidth="1"/>
    <col min="6659" max="6659" width="12.33203125" customWidth="1"/>
    <col min="6660" max="6660" width="14.33203125" customWidth="1"/>
    <col min="6661" max="6661" width="2.5" customWidth="1"/>
    <col min="6662" max="6662" width="0" hidden="1" customWidth="1"/>
    <col min="6663" max="6663" width="12" customWidth="1"/>
    <col min="6664" max="6664" width="2.83203125" customWidth="1"/>
    <col min="6665" max="6665" width="10.6640625" customWidth="1"/>
    <col min="6666" max="6666" width="16.5" customWidth="1"/>
    <col min="6667" max="6667" width="41.83203125" customWidth="1"/>
    <col min="6668" max="6668" width="4" customWidth="1"/>
    <col min="6669" max="6669" width="11.5" customWidth="1"/>
    <col min="6910" max="6910" width="33" customWidth="1"/>
    <col min="6911" max="6911" width="47.33203125" customWidth="1"/>
    <col min="6912" max="6912" width="3" customWidth="1"/>
    <col min="6913" max="6914" width="17.1640625" customWidth="1"/>
    <col min="6915" max="6915" width="12.33203125" customWidth="1"/>
    <col min="6916" max="6916" width="14.33203125" customWidth="1"/>
    <col min="6917" max="6917" width="2.5" customWidth="1"/>
    <col min="6918" max="6918" width="0" hidden="1" customWidth="1"/>
    <col min="6919" max="6919" width="12" customWidth="1"/>
    <col min="6920" max="6920" width="2.83203125" customWidth="1"/>
    <col min="6921" max="6921" width="10.6640625" customWidth="1"/>
    <col min="6922" max="6922" width="16.5" customWidth="1"/>
    <col min="6923" max="6923" width="41.83203125" customWidth="1"/>
    <col min="6924" max="6924" width="4" customWidth="1"/>
    <col min="6925" max="6925" width="11.5" customWidth="1"/>
    <col min="7166" max="7166" width="33" customWidth="1"/>
    <col min="7167" max="7167" width="47.33203125" customWidth="1"/>
    <col min="7168" max="7168" width="3" customWidth="1"/>
    <col min="7169" max="7170" width="17.1640625" customWidth="1"/>
    <col min="7171" max="7171" width="12.33203125" customWidth="1"/>
    <col min="7172" max="7172" width="14.33203125" customWidth="1"/>
    <col min="7173" max="7173" width="2.5" customWidth="1"/>
    <col min="7174" max="7174" width="0" hidden="1" customWidth="1"/>
    <col min="7175" max="7175" width="12" customWidth="1"/>
    <col min="7176" max="7176" width="2.83203125" customWidth="1"/>
    <col min="7177" max="7177" width="10.6640625" customWidth="1"/>
    <col min="7178" max="7178" width="16.5" customWidth="1"/>
    <col min="7179" max="7179" width="41.83203125" customWidth="1"/>
    <col min="7180" max="7180" width="4" customWidth="1"/>
    <col min="7181" max="7181" width="11.5" customWidth="1"/>
    <col min="7422" max="7422" width="33" customWidth="1"/>
    <col min="7423" max="7423" width="47.33203125" customWidth="1"/>
    <col min="7424" max="7424" width="3" customWidth="1"/>
    <col min="7425" max="7426" width="17.1640625" customWidth="1"/>
    <col min="7427" max="7427" width="12.33203125" customWidth="1"/>
    <col min="7428" max="7428" width="14.33203125" customWidth="1"/>
    <col min="7429" max="7429" width="2.5" customWidth="1"/>
    <col min="7430" max="7430" width="0" hidden="1" customWidth="1"/>
    <col min="7431" max="7431" width="12" customWidth="1"/>
    <col min="7432" max="7432" width="2.83203125" customWidth="1"/>
    <col min="7433" max="7433" width="10.6640625" customWidth="1"/>
    <col min="7434" max="7434" width="16.5" customWidth="1"/>
    <col min="7435" max="7435" width="41.83203125" customWidth="1"/>
    <col min="7436" max="7436" width="4" customWidth="1"/>
    <col min="7437" max="7437" width="11.5" customWidth="1"/>
    <col min="7678" max="7678" width="33" customWidth="1"/>
    <col min="7679" max="7679" width="47.33203125" customWidth="1"/>
    <col min="7680" max="7680" width="3" customWidth="1"/>
    <col min="7681" max="7682" width="17.1640625" customWidth="1"/>
    <col min="7683" max="7683" width="12.33203125" customWidth="1"/>
    <col min="7684" max="7684" width="14.33203125" customWidth="1"/>
    <col min="7685" max="7685" width="2.5" customWidth="1"/>
    <col min="7686" max="7686" width="0" hidden="1" customWidth="1"/>
    <col min="7687" max="7687" width="12" customWidth="1"/>
    <col min="7688" max="7688" width="2.83203125" customWidth="1"/>
    <col min="7689" max="7689" width="10.6640625" customWidth="1"/>
    <col min="7690" max="7690" width="16.5" customWidth="1"/>
    <col min="7691" max="7691" width="41.83203125" customWidth="1"/>
    <col min="7692" max="7692" width="4" customWidth="1"/>
    <col min="7693" max="7693" width="11.5" customWidth="1"/>
    <col min="7934" max="7934" width="33" customWidth="1"/>
    <col min="7935" max="7935" width="47.33203125" customWidth="1"/>
    <col min="7936" max="7936" width="3" customWidth="1"/>
    <col min="7937" max="7938" width="17.1640625" customWidth="1"/>
    <col min="7939" max="7939" width="12.33203125" customWidth="1"/>
    <col min="7940" max="7940" width="14.33203125" customWidth="1"/>
    <col min="7941" max="7941" width="2.5" customWidth="1"/>
    <col min="7942" max="7942" width="0" hidden="1" customWidth="1"/>
    <col min="7943" max="7943" width="12" customWidth="1"/>
    <col min="7944" max="7944" width="2.83203125" customWidth="1"/>
    <col min="7945" max="7945" width="10.6640625" customWidth="1"/>
    <col min="7946" max="7946" width="16.5" customWidth="1"/>
    <col min="7947" max="7947" width="41.83203125" customWidth="1"/>
    <col min="7948" max="7948" width="4" customWidth="1"/>
    <col min="7949" max="7949" width="11.5" customWidth="1"/>
    <col min="8190" max="8190" width="33" customWidth="1"/>
    <col min="8191" max="8191" width="47.33203125" customWidth="1"/>
    <col min="8192" max="8192" width="3" customWidth="1"/>
    <col min="8193" max="8194" width="17.1640625" customWidth="1"/>
    <col min="8195" max="8195" width="12.33203125" customWidth="1"/>
    <col min="8196" max="8196" width="14.33203125" customWidth="1"/>
    <col min="8197" max="8197" width="2.5" customWidth="1"/>
    <col min="8198" max="8198" width="0" hidden="1" customWidth="1"/>
    <col min="8199" max="8199" width="12" customWidth="1"/>
    <col min="8200" max="8200" width="2.83203125" customWidth="1"/>
    <col min="8201" max="8201" width="10.6640625" customWidth="1"/>
    <col min="8202" max="8202" width="16.5" customWidth="1"/>
    <col min="8203" max="8203" width="41.83203125" customWidth="1"/>
    <col min="8204" max="8204" width="4" customWidth="1"/>
    <col min="8205" max="8205" width="11.5" customWidth="1"/>
    <col min="8446" max="8446" width="33" customWidth="1"/>
    <col min="8447" max="8447" width="47.33203125" customWidth="1"/>
    <col min="8448" max="8448" width="3" customWidth="1"/>
    <col min="8449" max="8450" width="17.1640625" customWidth="1"/>
    <col min="8451" max="8451" width="12.33203125" customWidth="1"/>
    <col min="8452" max="8452" width="14.33203125" customWidth="1"/>
    <col min="8453" max="8453" width="2.5" customWidth="1"/>
    <col min="8454" max="8454" width="0" hidden="1" customWidth="1"/>
    <col min="8455" max="8455" width="12" customWidth="1"/>
    <col min="8456" max="8456" width="2.83203125" customWidth="1"/>
    <col min="8457" max="8457" width="10.6640625" customWidth="1"/>
    <col min="8458" max="8458" width="16.5" customWidth="1"/>
    <col min="8459" max="8459" width="41.83203125" customWidth="1"/>
    <col min="8460" max="8460" width="4" customWidth="1"/>
    <col min="8461" max="8461" width="11.5" customWidth="1"/>
    <col min="8702" max="8702" width="33" customWidth="1"/>
    <col min="8703" max="8703" width="47.33203125" customWidth="1"/>
    <col min="8704" max="8704" width="3" customWidth="1"/>
    <col min="8705" max="8706" width="17.1640625" customWidth="1"/>
    <col min="8707" max="8707" width="12.33203125" customWidth="1"/>
    <col min="8708" max="8708" width="14.33203125" customWidth="1"/>
    <col min="8709" max="8709" width="2.5" customWidth="1"/>
    <col min="8710" max="8710" width="0" hidden="1" customWidth="1"/>
    <col min="8711" max="8711" width="12" customWidth="1"/>
    <col min="8712" max="8712" width="2.83203125" customWidth="1"/>
    <col min="8713" max="8713" width="10.6640625" customWidth="1"/>
    <col min="8714" max="8714" width="16.5" customWidth="1"/>
    <col min="8715" max="8715" width="41.83203125" customWidth="1"/>
    <col min="8716" max="8716" width="4" customWidth="1"/>
    <col min="8717" max="8717" width="11.5" customWidth="1"/>
    <col min="8958" max="8958" width="33" customWidth="1"/>
    <col min="8959" max="8959" width="47.33203125" customWidth="1"/>
    <col min="8960" max="8960" width="3" customWidth="1"/>
    <col min="8961" max="8962" width="17.1640625" customWidth="1"/>
    <col min="8963" max="8963" width="12.33203125" customWidth="1"/>
    <col min="8964" max="8964" width="14.33203125" customWidth="1"/>
    <col min="8965" max="8965" width="2.5" customWidth="1"/>
    <col min="8966" max="8966" width="0" hidden="1" customWidth="1"/>
    <col min="8967" max="8967" width="12" customWidth="1"/>
    <col min="8968" max="8968" width="2.83203125" customWidth="1"/>
    <col min="8969" max="8969" width="10.6640625" customWidth="1"/>
    <col min="8970" max="8970" width="16.5" customWidth="1"/>
    <col min="8971" max="8971" width="41.83203125" customWidth="1"/>
    <col min="8972" max="8972" width="4" customWidth="1"/>
    <col min="8973" max="8973" width="11.5" customWidth="1"/>
    <col min="9214" max="9214" width="33" customWidth="1"/>
    <col min="9215" max="9215" width="47.33203125" customWidth="1"/>
    <col min="9216" max="9216" width="3" customWidth="1"/>
    <col min="9217" max="9218" width="17.1640625" customWidth="1"/>
    <col min="9219" max="9219" width="12.33203125" customWidth="1"/>
    <col min="9220" max="9220" width="14.33203125" customWidth="1"/>
    <col min="9221" max="9221" width="2.5" customWidth="1"/>
    <col min="9222" max="9222" width="0" hidden="1" customWidth="1"/>
    <col min="9223" max="9223" width="12" customWidth="1"/>
    <col min="9224" max="9224" width="2.83203125" customWidth="1"/>
    <col min="9225" max="9225" width="10.6640625" customWidth="1"/>
    <col min="9226" max="9226" width="16.5" customWidth="1"/>
    <col min="9227" max="9227" width="41.83203125" customWidth="1"/>
    <col min="9228" max="9228" width="4" customWidth="1"/>
    <col min="9229" max="9229" width="11.5" customWidth="1"/>
    <col min="9470" max="9470" width="33" customWidth="1"/>
    <col min="9471" max="9471" width="47.33203125" customWidth="1"/>
    <col min="9472" max="9472" width="3" customWidth="1"/>
    <col min="9473" max="9474" width="17.1640625" customWidth="1"/>
    <col min="9475" max="9475" width="12.33203125" customWidth="1"/>
    <col min="9476" max="9476" width="14.33203125" customWidth="1"/>
    <col min="9477" max="9477" width="2.5" customWidth="1"/>
    <col min="9478" max="9478" width="0" hidden="1" customWidth="1"/>
    <col min="9479" max="9479" width="12" customWidth="1"/>
    <col min="9480" max="9480" width="2.83203125" customWidth="1"/>
    <col min="9481" max="9481" width="10.6640625" customWidth="1"/>
    <col min="9482" max="9482" width="16.5" customWidth="1"/>
    <col min="9483" max="9483" width="41.83203125" customWidth="1"/>
    <col min="9484" max="9484" width="4" customWidth="1"/>
    <col min="9485" max="9485" width="11.5" customWidth="1"/>
    <col min="9726" max="9726" width="33" customWidth="1"/>
    <col min="9727" max="9727" width="47.33203125" customWidth="1"/>
    <col min="9728" max="9728" width="3" customWidth="1"/>
    <col min="9729" max="9730" width="17.1640625" customWidth="1"/>
    <col min="9731" max="9731" width="12.33203125" customWidth="1"/>
    <col min="9732" max="9732" width="14.33203125" customWidth="1"/>
    <col min="9733" max="9733" width="2.5" customWidth="1"/>
    <col min="9734" max="9734" width="0" hidden="1" customWidth="1"/>
    <col min="9735" max="9735" width="12" customWidth="1"/>
    <col min="9736" max="9736" width="2.83203125" customWidth="1"/>
    <col min="9737" max="9737" width="10.6640625" customWidth="1"/>
    <col min="9738" max="9738" width="16.5" customWidth="1"/>
    <col min="9739" max="9739" width="41.83203125" customWidth="1"/>
    <col min="9740" max="9740" width="4" customWidth="1"/>
    <col min="9741" max="9741" width="11.5" customWidth="1"/>
    <col min="9982" max="9982" width="33" customWidth="1"/>
    <col min="9983" max="9983" width="47.33203125" customWidth="1"/>
    <col min="9984" max="9984" width="3" customWidth="1"/>
    <col min="9985" max="9986" width="17.1640625" customWidth="1"/>
    <col min="9987" max="9987" width="12.33203125" customWidth="1"/>
    <col min="9988" max="9988" width="14.33203125" customWidth="1"/>
    <col min="9989" max="9989" width="2.5" customWidth="1"/>
    <col min="9990" max="9990" width="0" hidden="1" customWidth="1"/>
    <col min="9991" max="9991" width="12" customWidth="1"/>
    <col min="9992" max="9992" width="2.83203125" customWidth="1"/>
    <col min="9993" max="9993" width="10.6640625" customWidth="1"/>
    <col min="9994" max="9994" width="16.5" customWidth="1"/>
    <col min="9995" max="9995" width="41.83203125" customWidth="1"/>
    <col min="9996" max="9996" width="4" customWidth="1"/>
    <col min="9997" max="9997" width="11.5" customWidth="1"/>
    <col min="10238" max="10238" width="33" customWidth="1"/>
    <col min="10239" max="10239" width="47.33203125" customWidth="1"/>
    <col min="10240" max="10240" width="3" customWidth="1"/>
    <col min="10241" max="10242" width="17.1640625" customWidth="1"/>
    <col min="10243" max="10243" width="12.33203125" customWidth="1"/>
    <col min="10244" max="10244" width="14.33203125" customWidth="1"/>
    <col min="10245" max="10245" width="2.5" customWidth="1"/>
    <col min="10246" max="10246" width="0" hidden="1" customWidth="1"/>
    <col min="10247" max="10247" width="12" customWidth="1"/>
    <col min="10248" max="10248" width="2.83203125" customWidth="1"/>
    <col min="10249" max="10249" width="10.6640625" customWidth="1"/>
    <col min="10250" max="10250" width="16.5" customWidth="1"/>
    <col min="10251" max="10251" width="41.83203125" customWidth="1"/>
    <col min="10252" max="10252" width="4" customWidth="1"/>
    <col min="10253" max="10253" width="11.5" customWidth="1"/>
    <col min="10494" max="10494" width="33" customWidth="1"/>
    <col min="10495" max="10495" width="47.33203125" customWidth="1"/>
    <col min="10496" max="10496" width="3" customWidth="1"/>
    <col min="10497" max="10498" width="17.1640625" customWidth="1"/>
    <col min="10499" max="10499" width="12.33203125" customWidth="1"/>
    <col min="10500" max="10500" width="14.33203125" customWidth="1"/>
    <col min="10501" max="10501" width="2.5" customWidth="1"/>
    <col min="10502" max="10502" width="0" hidden="1" customWidth="1"/>
    <col min="10503" max="10503" width="12" customWidth="1"/>
    <col min="10504" max="10504" width="2.83203125" customWidth="1"/>
    <col min="10505" max="10505" width="10.6640625" customWidth="1"/>
    <col min="10506" max="10506" width="16.5" customWidth="1"/>
    <col min="10507" max="10507" width="41.83203125" customWidth="1"/>
    <col min="10508" max="10508" width="4" customWidth="1"/>
    <col min="10509" max="10509" width="11.5" customWidth="1"/>
    <col min="10750" max="10750" width="33" customWidth="1"/>
    <col min="10751" max="10751" width="47.33203125" customWidth="1"/>
    <col min="10752" max="10752" width="3" customWidth="1"/>
    <col min="10753" max="10754" width="17.1640625" customWidth="1"/>
    <col min="10755" max="10755" width="12.33203125" customWidth="1"/>
    <col min="10756" max="10756" width="14.33203125" customWidth="1"/>
    <col min="10757" max="10757" width="2.5" customWidth="1"/>
    <col min="10758" max="10758" width="0" hidden="1" customWidth="1"/>
    <col min="10759" max="10759" width="12" customWidth="1"/>
    <col min="10760" max="10760" width="2.83203125" customWidth="1"/>
    <col min="10761" max="10761" width="10.6640625" customWidth="1"/>
    <col min="10762" max="10762" width="16.5" customWidth="1"/>
    <col min="10763" max="10763" width="41.83203125" customWidth="1"/>
    <col min="10764" max="10764" width="4" customWidth="1"/>
    <col min="10765" max="10765" width="11.5" customWidth="1"/>
    <col min="11006" max="11006" width="33" customWidth="1"/>
    <col min="11007" max="11007" width="47.33203125" customWidth="1"/>
    <col min="11008" max="11008" width="3" customWidth="1"/>
    <col min="11009" max="11010" width="17.1640625" customWidth="1"/>
    <col min="11011" max="11011" width="12.33203125" customWidth="1"/>
    <col min="11012" max="11012" width="14.33203125" customWidth="1"/>
    <col min="11013" max="11013" width="2.5" customWidth="1"/>
    <col min="11014" max="11014" width="0" hidden="1" customWidth="1"/>
    <col min="11015" max="11015" width="12" customWidth="1"/>
    <col min="11016" max="11016" width="2.83203125" customWidth="1"/>
    <col min="11017" max="11017" width="10.6640625" customWidth="1"/>
    <col min="11018" max="11018" width="16.5" customWidth="1"/>
    <col min="11019" max="11019" width="41.83203125" customWidth="1"/>
    <col min="11020" max="11020" width="4" customWidth="1"/>
    <col min="11021" max="11021" width="11.5" customWidth="1"/>
    <col min="11262" max="11262" width="33" customWidth="1"/>
    <col min="11263" max="11263" width="47.33203125" customWidth="1"/>
    <col min="11264" max="11264" width="3" customWidth="1"/>
    <col min="11265" max="11266" width="17.1640625" customWidth="1"/>
    <col min="11267" max="11267" width="12.33203125" customWidth="1"/>
    <col min="11268" max="11268" width="14.33203125" customWidth="1"/>
    <col min="11269" max="11269" width="2.5" customWidth="1"/>
    <col min="11270" max="11270" width="0" hidden="1" customWidth="1"/>
    <col min="11271" max="11271" width="12" customWidth="1"/>
    <col min="11272" max="11272" width="2.83203125" customWidth="1"/>
    <col min="11273" max="11273" width="10.6640625" customWidth="1"/>
    <col min="11274" max="11274" width="16.5" customWidth="1"/>
    <col min="11275" max="11275" width="41.83203125" customWidth="1"/>
    <col min="11276" max="11276" width="4" customWidth="1"/>
    <col min="11277" max="11277" width="11.5" customWidth="1"/>
    <col min="11518" max="11518" width="33" customWidth="1"/>
    <col min="11519" max="11519" width="47.33203125" customWidth="1"/>
    <col min="11520" max="11520" width="3" customWidth="1"/>
    <col min="11521" max="11522" width="17.1640625" customWidth="1"/>
    <col min="11523" max="11523" width="12.33203125" customWidth="1"/>
    <col min="11524" max="11524" width="14.33203125" customWidth="1"/>
    <col min="11525" max="11525" width="2.5" customWidth="1"/>
    <col min="11526" max="11526" width="0" hidden="1" customWidth="1"/>
    <col min="11527" max="11527" width="12" customWidth="1"/>
    <col min="11528" max="11528" width="2.83203125" customWidth="1"/>
    <col min="11529" max="11529" width="10.6640625" customWidth="1"/>
    <col min="11530" max="11530" width="16.5" customWidth="1"/>
    <col min="11531" max="11531" width="41.83203125" customWidth="1"/>
    <col min="11532" max="11532" width="4" customWidth="1"/>
    <col min="11533" max="11533" width="11.5" customWidth="1"/>
    <col min="11774" max="11774" width="33" customWidth="1"/>
    <col min="11775" max="11775" width="47.33203125" customWidth="1"/>
    <col min="11776" max="11776" width="3" customWidth="1"/>
    <col min="11777" max="11778" width="17.1640625" customWidth="1"/>
    <col min="11779" max="11779" width="12.33203125" customWidth="1"/>
    <col min="11780" max="11780" width="14.33203125" customWidth="1"/>
    <col min="11781" max="11781" width="2.5" customWidth="1"/>
    <col min="11782" max="11782" width="0" hidden="1" customWidth="1"/>
    <col min="11783" max="11783" width="12" customWidth="1"/>
    <col min="11784" max="11784" width="2.83203125" customWidth="1"/>
    <col min="11785" max="11785" width="10.6640625" customWidth="1"/>
    <col min="11786" max="11786" width="16.5" customWidth="1"/>
    <col min="11787" max="11787" width="41.83203125" customWidth="1"/>
    <col min="11788" max="11788" width="4" customWidth="1"/>
    <col min="11789" max="11789" width="11.5" customWidth="1"/>
    <col min="12030" max="12030" width="33" customWidth="1"/>
    <col min="12031" max="12031" width="47.33203125" customWidth="1"/>
    <col min="12032" max="12032" width="3" customWidth="1"/>
    <col min="12033" max="12034" width="17.1640625" customWidth="1"/>
    <col min="12035" max="12035" width="12.33203125" customWidth="1"/>
    <col min="12036" max="12036" width="14.33203125" customWidth="1"/>
    <col min="12037" max="12037" width="2.5" customWidth="1"/>
    <col min="12038" max="12038" width="0" hidden="1" customWidth="1"/>
    <col min="12039" max="12039" width="12" customWidth="1"/>
    <col min="12040" max="12040" width="2.83203125" customWidth="1"/>
    <col min="12041" max="12041" width="10.6640625" customWidth="1"/>
    <col min="12042" max="12042" width="16.5" customWidth="1"/>
    <col min="12043" max="12043" width="41.83203125" customWidth="1"/>
    <col min="12044" max="12044" width="4" customWidth="1"/>
    <col min="12045" max="12045" width="11.5" customWidth="1"/>
    <col min="12286" max="12286" width="33" customWidth="1"/>
    <col min="12287" max="12287" width="47.33203125" customWidth="1"/>
    <col min="12288" max="12288" width="3" customWidth="1"/>
    <col min="12289" max="12290" width="17.1640625" customWidth="1"/>
    <col min="12291" max="12291" width="12.33203125" customWidth="1"/>
    <col min="12292" max="12292" width="14.33203125" customWidth="1"/>
    <col min="12293" max="12293" width="2.5" customWidth="1"/>
    <col min="12294" max="12294" width="0" hidden="1" customWidth="1"/>
    <col min="12295" max="12295" width="12" customWidth="1"/>
    <col min="12296" max="12296" width="2.83203125" customWidth="1"/>
    <col min="12297" max="12297" width="10.6640625" customWidth="1"/>
    <col min="12298" max="12298" width="16.5" customWidth="1"/>
    <col min="12299" max="12299" width="41.83203125" customWidth="1"/>
    <col min="12300" max="12300" width="4" customWidth="1"/>
    <col min="12301" max="12301" width="11.5" customWidth="1"/>
    <col min="12542" max="12542" width="33" customWidth="1"/>
    <col min="12543" max="12543" width="47.33203125" customWidth="1"/>
    <col min="12544" max="12544" width="3" customWidth="1"/>
    <col min="12545" max="12546" width="17.1640625" customWidth="1"/>
    <col min="12547" max="12547" width="12.33203125" customWidth="1"/>
    <col min="12548" max="12548" width="14.33203125" customWidth="1"/>
    <col min="12549" max="12549" width="2.5" customWidth="1"/>
    <col min="12550" max="12550" width="0" hidden="1" customWidth="1"/>
    <col min="12551" max="12551" width="12" customWidth="1"/>
    <col min="12552" max="12552" width="2.83203125" customWidth="1"/>
    <col min="12553" max="12553" width="10.6640625" customWidth="1"/>
    <col min="12554" max="12554" width="16.5" customWidth="1"/>
    <col min="12555" max="12555" width="41.83203125" customWidth="1"/>
    <col min="12556" max="12556" width="4" customWidth="1"/>
    <col min="12557" max="12557" width="11.5" customWidth="1"/>
    <col min="12798" max="12798" width="33" customWidth="1"/>
    <col min="12799" max="12799" width="47.33203125" customWidth="1"/>
    <col min="12800" max="12800" width="3" customWidth="1"/>
    <col min="12801" max="12802" width="17.1640625" customWidth="1"/>
    <col min="12803" max="12803" width="12.33203125" customWidth="1"/>
    <col min="12804" max="12804" width="14.33203125" customWidth="1"/>
    <col min="12805" max="12805" width="2.5" customWidth="1"/>
    <col min="12806" max="12806" width="0" hidden="1" customWidth="1"/>
    <col min="12807" max="12807" width="12" customWidth="1"/>
    <col min="12808" max="12808" width="2.83203125" customWidth="1"/>
    <col min="12809" max="12809" width="10.6640625" customWidth="1"/>
    <col min="12810" max="12810" width="16.5" customWidth="1"/>
    <col min="12811" max="12811" width="41.83203125" customWidth="1"/>
    <col min="12812" max="12812" width="4" customWidth="1"/>
    <col min="12813" max="12813" width="11.5" customWidth="1"/>
    <col min="13054" max="13054" width="33" customWidth="1"/>
    <col min="13055" max="13055" width="47.33203125" customWidth="1"/>
    <col min="13056" max="13056" width="3" customWidth="1"/>
    <col min="13057" max="13058" width="17.1640625" customWidth="1"/>
    <col min="13059" max="13059" width="12.33203125" customWidth="1"/>
    <col min="13060" max="13060" width="14.33203125" customWidth="1"/>
    <col min="13061" max="13061" width="2.5" customWidth="1"/>
    <col min="13062" max="13062" width="0" hidden="1" customWidth="1"/>
    <col min="13063" max="13063" width="12" customWidth="1"/>
    <col min="13064" max="13064" width="2.83203125" customWidth="1"/>
    <col min="13065" max="13065" width="10.6640625" customWidth="1"/>
    <col min="13066" max="13066" width="16.5" customWidth="1"/>
    <col min="13067" max="13067" width="41.83203125" customWidth="1"/>
    <col min="13068" max="13068" width="4" customWidth="1"/>
    <col min="13069" max="13069" width="11.5" customWidth="1"/>
    <col min="13310" max="13310" width="33" customWidth="1"/>
    <col min="13311" max="13311" width="47.33203125" customWidth="1"/>
    <col min="13312" max="13312" width="3" customWidth="1"/>
    <col min="13313" max="13314" width="17.1640625" customWidth="1"/>
    <col min="13315" max="13315" width="12.33203125" customWidth="1"/>
    <col min="13316" max="13316" width="14.33203125" customWidth="1"/>
    <col min="13317" max="13317" width="2.5" customWidth="1"/>
    <col min="13318" max="13318" width="0" hidden="1" customWidth="1"/>
    <col min="13319" max="13319" width="12" customWidth="1"/>
    <col min="13320" max="13320" width="2.83203125" customWidth="1"/>
    <col min="13321" max="13321" width="10.6640625" customWidth="1"/>
    <col min="13322" max="13322" width="16.5" customWidth="1"/>
    <col min="13323" max="13323" width="41.83203125" customWidth="1"/>
    <col min="13324" max="13324" width="4" customWidth="1"/>
    <col min="13325" max="13325" width="11.5" customWidth="1"/>
    <col min="13566" max="13566" width="33" customWidth="1"/>
    <col min="13567" max="13567" width="47.33203125" customWidth="1"/>
    <col min="13568" max="13568" width="3" customWidth="1"/>
    <col min="13569" max="13570" width="17.1640625" customWidth="1"/>
    <col min="13571" max="13571" width="12.33203125" customWidth="1"/>
    <col min="13572" max="13572" width="14.33203125" customWidth="1"/>
    <col min="13573" max="13573" width="2.5" customWidth="1"/>
    <col min="13574" max="13574" width="0" hidden="1" customWidth="1"/>
    <col min="13575" max="13575" width="12" customWidth="1"/>
    <col min="13576" max="13576" width="2.83203125" customWidth="1"/>
    <col min="13577" max="13577" width="10.6640625" customWidth="1"/>
    <col min="13578" max="13578" width="16.5" customWidth="1"/>
    <col min="13579" max="13579" width="41.83203125" customWidth="1"/>
    <col min="13580" max="13580" width="4" customWidth="1"/>
    <col min="13581" max="13581" width="11.5" customWidth="1"/>
    <col min="13822" max="13822" width="33" customWidth="1"/>
    <col min="13823" max="13823" width="47.33203125" customWidth="1"/>
    <col min="13824" max="13824" width="3" customWidth="1"/>
    <col min="13825" max="13826" width="17.1640625" customWidth="1"/>
    <col min="13827" max="13827" width="12.33203125" customWidth="1"/>
    <col min="13828" max="13828" width="14.33203125" customWidth="1"/>
    <col min="13829" max="13829" width="2.5" customWidth="1"/>
    <col min="13830" max="13830" width="0" hidden="1" customWidth="1"/>
    <col min="13831" max="13831" width="12" customWidth="1"/>
    <col min="13832" max="13832" width="2.83203125" customWidth="1"/>
    <col min="13833" max="13833" width="10.6640625" customWidth="1"/>
    <col min="13834" max="13834" width="16.5" customWidth="1"/>
    <col min="13835" max="13835" width="41.83203125" customWidth="1"/>
    <col min="13836" max="13836" width="4" customWidth="1"/>
    <col min="13837" max="13837" width="11.5" customWidth="1"/>
    <col min="14078" max="14078" width="33" customWidth="1"/>
    <col min="14079" max="14079" width="47.33203125" customWidth="1"/>
    <col min="14080" max="14080" width="3" customWidth="1"/>
    <col min="14081" max="14082" width="17.1640625" customWidth="1"/>
    <col min="14083" max="14083" width="12.33203125" customWidth="1"/>
    <col min="14084" max="14084" width="14.33203125" customWidth="1"/>
    <col min="14085" max="14085" width="2.5" customWidth="1"/>
    <col min="14086" max="14086" width="0" hidden="1" customWidth="1"/>
    <col min="14087" max="14087" width="12" customWidth="1"/>
    <col min="14088" max="14088" width="2.83203125" customWidth="1"/>
    <col min="14089" max="14089" width="10.6640625" customWidth="1"/>
    <col min="14090" max="14090" width="16.5" customWidth="1"/>
    <col min="14091" max="14091" width="41.83203125" customWidth="1"/>
    <col min="14092" max="14092" width="4" customWidth="1"/>
    <col min="14093" max="14093" width="11.5" customWidth="1"/>
    <col min="14334" max="14334" width="33" customWidth="1"/>
    <col min="14335" max="14335" width="47.33203125" customWidth="1"/>
    <col min="14336" max="14336" width="3" customWidth="1"/>
    <col min="14337" max="14338" width="17.1640625" customWidth="1"/>
    <col min="14339" max="14339" width="12.33203125" customWidth="1"/>
    <col min="14340" max="14340" width="14.33203125" customWidth="1"/>
    <col min="14341" max="14341" width="2.5" customWidth="1"/>
    <col min="14342" max="14342" width="0" hidden="1" customWidth="1"/>
    <col min="14343" max="14343" width="12" customWidth="1"/>
    <col min="14344" max="14344" width="2.83203125" customWidth="1"/>
    <col min="14345" max="14345" width="10.6640625" customWidth="1"/>
    <col min="14346" max="14346" width="16.5" customWidth="1"/>
    <col min="14347" max="14347" width="41.83203125" customWidth="1"/>
    <col min="14348" max="14348" width="4" customWidth="1"/>
    <col min="14349" max="14349" width="11.5" customWidth="1"/>
    <col min="14590" max="14590" width="33" customWidth="1"/>
    <col min="14591" max="14591" width="47.33203125" customWidth="1"/>
    <col min="14592" max="14592" width="3" customWidth="1"/>
    <col min="14593" max="14594" width="17.1640625" customWidth="1"/>
    <col min="14595" max="14595" width="12.33203125" customWidth="1"/>
    <col min="14596" max="14596" width="14.33203125" customWidth="1"/>
    <col min="14597" max="14597" width="2.5" customWidth="1"/>
    <col min="14598" max="14598" width="0" hidden="1" customWidth="1"/>
    <col min="14599" max="14599" width="12" customWidth="1"/>
    <col min="14600" max="14600" width="2.83203125" customWidth="1"/>
    <col min="14601" max="14601" width="10.6640625" customWidth="1"/>
    <col min="14602" max="14602" width="16.5" customWidth="1"/>
    <col min="14603" max="14603" width="41.83203125" customWidth="1"/>
    <col min="14604" max="14604" width="4" customWidth="1"/>
    <col min="14605" max="14605" width="11.5" customWidth="1"/>
    <col min="14846" max="14846" width="33" customWidth="1"/>
    <col min="14847" max="14847" width="47.33203125" customWidth="1"/>
    <col min="14848" max="14848" width="3" customWidth="1"/>
    <col min="14849" max="14850" width="17.1640625" customWidth="1"/>
    <col min="14851" max="14851" width="12.33203125" customWidth="1"/>
    <col min="14852" max="14852" width="14.33203125" customWidth="1"/>
    <col min="14853" max="14853" width="2.5" customWidth="1"/>
    <col min="14854" max="14854" width="0" hidden="1" customWidth="1"/>
    <col min="14855" max="14855" width="12" customWidth="1"/>
    <col min="14856" max="14856" width="2.83203125" customWidth="1"/>
    <col min="14857" max="14857" width="10.6640625" customWidth="1"/>
    <col min="14858" max="14858" width="16.5" customWidth="1"/>
    <col min="14859" max="14859" width="41.83203125" customWidth="1"/>
    <col min="14860" max="14860" width="4" customWidth="1"/>
    <col min="14861" max="14861" width="11.5" customWidth="1"/>
    <col min="15102" max="15102" width="33" customWidth="1"/>
    <col min="15103" max="15103" width="47.33203125" customWidth="1"/>
    <col min="15104" max="15104" width="3" customWidth="1"/>
    <col min="15105" max="15106" width="17.1640625" customWidth="1"/>
    <col min="15107" max="15107" width="12.33203125" customWidth="1"/>
    <col min="15108" max="15108" width="14.33203125" customWidth="1"/>
    <col min="15109" max="15109" width="2.5" customWidth="1"/>
    <col min="15110" max="15110" width="0" hidden="1" customWidth="1"/>
    <col min="15111" max="15111" width="12" customWidth="1"/>
    <col min="15112" max="15112" width="2.83203125" customWidth="1"/>
    <col min="15113" max="15113" width="10.6640625" customWidth="1"/>
    <col min="15114" max="15114" width="16.5" customWidth="1"/>
    <col min="15115" max="15115" width="41.83203125" customWidth="1"/>
    <col min="15116" max="15116" width="4" customWidth="1"/>
    <col min="15117" max="15117" width="11.5" customWidth="1"/>
    <col min="15358" max="15358" width="33" customWidth="1"/>
    <col min="15359" max="15359" width="47.33203125" customWidth="1"/>
    <col min="15360" max="15360" width="3" customWidth="1"/>
    <col min="15361" max="15362" width="17.1640625" customWidth="1"/>
    <col min="15363" max="15363" width="12.33203125" customWidth="1"/>
    <col min="15364" max="15364" width="14.33203125" customWidth="1"/>
    <col min="15365" max="15365" width="2.5" customWidth="1"/>
    <col min="15366" max="15366" width="0" hidden="1" customWidth="1"/>
    <col min="15367" max="15367" width="12" customWidth="1"/>
    <col min="15368" max="15368" width="2.83203125" customWidth="1"/>
    <col min="15369" max="15369" width="10.6640625" customWidth="1"/>
    <col min="15370" max="15370" width="16.5" customWidth="1"/>
    <col min="15371" max="15371" width="41.83203125" customWidth="1"/>
    <col min="15372" max="15372" width="4" customWidth="1"/>
    <col min="15373" max="15373" width="11.5" customWidth="1"/>
    <col min="15614" max="15614" width="33" customWidth="1"/>
    <col min="15615" max="15615" width="47.33203125" customWidth="1"/>
    <col min="15616" max="15616" width="3" customWidth="1"/>
    <col min="15617" max="15618" width="17.1640625" customWidth="1"/>
    <col min="15619" max="15619" width="12.33203125" customWidth="1"/>
    <col min="15620" max="15620" width="14.33203125" customWidth="1"/>
    <col min="15621" max="15621" width="2.5" customWidth="1"/>
    <col min="15622" max="15622" width="0" hidden="1" customWidth="1"/>
    <col min="15623" max="15623" width="12" customWidth="1"/>
    <col min="15624" max="15624" width="2.83203125" customWidth="1"/>
    <col min="15625" max="15625" width="10.6640625" customWidth="1"/>
    <col min="15626" max="15626" width="16.5" customWidth="1"/>
    <col min="15627" max="15627" width="41.83203125" customWidth="1"/>
    <col min="15628" max="15628" width="4" customWidth="1"/>
    <col min="15629" max="15629" width="11.5" customWidth="1"/>
    <col min="15870" max="15870" width="33" customWidth="1"/>
    <col min="15871" max="15871" width="47.33203125" customWidth="1"/>
    <col min="15872" max="15872" width="3" customWidth="1"/>
    <col min="15873" max="15874" width="17.1640625" customWidth="1"/>
    <col min="15875" max="15875" width="12.33203125" customWidth="1"/>
    <col min="15876" max="15876" width="14.33203125" customWidth="1"/>
    <col min="15877" max="15877" width="2.5" customWidth="1"/>
    <col min="15878" max="15878" width="0" hidden="1" customWidth="1"/>
    <col min="15879" max="15879" width="12" customWidth="1"/>
    <col min="15880" max="15880" width="2.83203125" customWidth="1"/>
    <col min="15881" max="15881" width="10.6640625" customWidth="1"/>
    <col min="15882" max="15882" width="16.5" customWidth="1"/>
    <col min="15883" max="15883" width="41.83203125" customWidth="1"/>
    <col min="15884" max="15884" width="4" customWidth="1"/>
    <col min="15885" max="15885" width="11.5" customWidth="1"/>
    <col min="16126" max="16126" width="33" customWidth="1"/>
    <col min="16127" max="16127" width="47.33203125" customWidth="1"/>
    <col min="16128" max="16128" width="3" customWidth="1"/>
    <col min="16129" max="16130" width="17.1640625" customWidth="1"/>
    <col min="16131" max="16131" width="12.33203125" customWidth="1"/>
    <col min="16132" max="16132" width="14.33203125" customWidth="1"/>
    <col min="16133" max="16133" width="2.5" customWidth="1"/>
    <col min="16134" max="16134" width="0" hidden="1" customWidth="1"/>
    <col min="16135" max="16135" width="12" customWidth="1"/>
    <col min="16136" max="16136" width="2.83203125" customWidth="1"/>
    <col min="16137" max="16137" width="10.6640625" customWidth="1"/>
    <col min="16138" max="16138" width="16.5" customWidth="1"/>
    <col min="16139" max="16139" width="41.83203125" customWidth="1"/>
    <col min="16140" max="16140" width="4" customWidth="1"/>
    <col min="16141" max="16141" width="11.5" customWidth="1"/>
  </cols>
  <sheetData>
    <row r="1" spans="1:131" ht="23.5" customHeight="1" thickBot="1">
      <c r="A1" s="35">
        <v>1</v>
      </c>
      <c r="K1" s="465" t="s">
        <v>128</v>
      </c>
      <c r="L1" s="466"/>
      <c r="M1" s="467"/>
      <c r="N1" s="465" t="s">
        <v>129</v>
      </c>
      <c r="O1" s="468"/>
      <c r="Q1" s="465" t="s">
        <v>130</v>
      </c>
      <c r="R1" s="466"/>
      <c r="S1" s="35">
        <v>1</v>
      </c>
    </row>
    <row r="2" spans="1:131" ht="18" thickBot="1">
      <c r="A2" s="35">
        <f>1+A1</f>
        <v>2</v>
      </c>
      <c r="B2" s="172" t="s">
        <v>131</v>
      </c>
      <c r="C2" s="37"/>
      <c r="E2" s="173">
        <v>2017</v>
      </c>
      <c r="F2" s="173">
        <v>2017</v>
      </c>
      <c r="H2" s="266" t="s">
        <v>82</v>
      </c>
      <c r="I2" s="267" t="s">
        <v>82</v>
      </c>
      <c r="K2" s="266" t="s">
        <v>99</v>
      </c>
      <c r="L2" s="267" t="s">
        <v>99</v>
      </c>
      <c r="N2" s="266" t="s">
        <v>99</v>
      </c>
      <c r="O2" s="267" t="s">
        <v>99</v>
      </c>
      <c r="Q2" s="266" t="s">
        <v>99</v>
      </c>
      <c r="R2" s="267" t="s">
        <v>99</v>
      </c>
      <c r="S2" s="35">
        <f>1+S1</f>
        <v>2</v>
      </c>
    </row>
    <row r="3" spans="1:131" ht="21" thickBot="1">
      <c r="A3" s="35">
        <f>+A2+1</f>
        <v>3</v>
      </c>
      <c r="B3" s="51"/>
      <c r="C3" s="88"/>
      <c r="E3" s="175" t="s">
        <v>92</v>
      </c>
      <c r="F3" s="175" t="s">
        <v>92</v>
      </c>
      <c r="H3" s="234" t="s">
        <v>0</v>
      </c>
      <c r="I3" s="470" t="s">
        <v>0</v>
      </c>
      <c r="K3" s="471" t="s">
        <v>132</v>
      </c>
      <c r="L3" s="472" t="s">
        <v>132</v>
      </c>
      <c r="N3" s="473" t="s">
        <v>133</v>
      </c>
      <c r="O3" s="474" t="s">
        <v>133</v>
      </c>
      <c r="Q3" s="234" t="s">
        <v>134</v>
      </c>
      <c r="R3" s="470" t="s">
        <v>134</v>
      </c>
      <c r="S3" s="35">
        <f>+S2+1</f>
        <v>3</v>
      </c>
    </row>
    <row r="4" spans="1:131" s="70" customFormat="1" ht="13" thickBot="1">
      <c r="A4" s="35">
        <f t="shared" ref="A4:A67" si="0">+A3+1</f>
        <v>4</v>
      </c>
      <c r="B4" s="270" t="s">
        <v>25</v>
      </c>
      <c r="C4" s="176"/>
      <c r="D4" s="153"/>
      <c r="E4" s="175"/>
      <c r="F4" s="177"/>
      <c r="G4" s="153"/>
      <c r="H4" s="475"/>
      <c r="I4" s="476"/>
      <c r="J4" s="42"/>
      <c r="K4" s="175"/>
      <c r="L4" s="177"/>
      <c r="M4" s="225"/>
      <c r="N4" s="175"/>
      <c r="O4" s="177"/>
      <c r="P4" s="225"/>
      <c r="Q4" s="175"/>
      <c r="R4" s="177"/>
      <c r="S4" s="35">
        <f t="shared" ref="S4:S67" si="1">+S3+1</f>
        <v>4</v>
      </c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</row>
    <row r="5" spans="1:131" s="70" customFormat="1" ht="12">
      <c r="A5" s="35">
        <f t="shared" si="0"/>
        <v>5</v>
      </c>
      <c r="B5" s="276" t="s">
        <v>27</v>
      </c>
      <c r="C5" s="221"/>
      <c r="D5" s="164"/>
      <c r="E5" s="180"/>
      <c r="F5" s="181">
        <v>95000</v>
      </c>
      <c r="G5" s="153"/>
      <c r="H5" s="477"/>
      <c r="I5" s="388">
        <f>+'[3]Diff Actual VS EST 2018'!F4</f>
        <v>88239</v>
      </c>
      <c r="J5" s="42"/>
      <c r="K5" s="280"/>
      <c r="L5" s="278">
        <v>100000</v>
      </c>
      <c r="M5" s="225"/>
      <c r="N5" s="280"/>
      <c r="O5" s="478"/>
      <c r="P5" s="225"/>
      <c r="Q5" s="280"/>
      <c r="R5" s="278">
        <f>+L5+O5</f>
        <v>100000</v>
      </c>
      <c r="S5" s="35">
        <f t="shared" si="1"/>
        <v>5</v>
      </c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</row>
    <row r="6" spans="1:131" s="70" customFormat="1" ht="12">
      <c r="A6" s="35">
        <f t="shared" si="0"/>
        <v>6</v>
      </c>
      <c r="B6" s="79"/>
      <c r="C6" s="88"/>
      <c r="D6" s="153"/>
      <c r="E6" s="182"/>
      <c r="F6" s="183"/>
      <c r="G6" s="153"/>
      <c r="H6" s="228"/>
      <c r="I6" s="393"/>
      <c r="J6" s="42"/>
      <c r="K6" s="280"/>
      <c r="L6" s="283"/>
      <c r="M6" s="225"/>
      <c r="N6" s="280"/>
      <c r="O6" s="283"/>
      <c r="P6" s="225"/>
      <c r="Q6" s="280"/>
      <c r="R6" s="283"/>
      <c r="S6" s="35">
        <f t="shared" si="1"/>
        <v>6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</row>
    <row r="7" spans="1:131" s="70" customFormat="1" ht="12">
      <c r="A7" s="35">
        <f t="shared" si="0"/>
        <v>7</v>
      </c>
      <c r="B7" s="79" t="s">
        <v>3</v>
      </c>
      <c r="C7" s="88"/>
      <c r="D7" s="153"/>
      <c r="E7" s="184"/>
      <c r="F7" s="185">
        <f>SUM(E8:E9)</f>
        <v>31500</v>
      </c>
      <c r="G7" s="153"/>
      <c r="H7" s="479"/>
      <c r="I7" s="288">
        <f>SUM(H8:H9)</f>
        <v>61334</v>
      </c>
      <c r="J7" s="42"/>
      <c r="K7" s="287"/>
      <c r="L7" s="288">
        <f>SUM(K8:K10)</f>
        <v>45000</v>
      </c>
      <c r="M7" s="225"/>
      <c r="N7" s="287"/>
      <c r="O7" s="288">
        <f>SUM(N8:N10)</f>
        <v>30000</v>
      </c>
      <c r="P7" s="225"/>
      <c r="Q7" s="287"/>
      <c r="R7" s="288">
        <f>SUM(Q8:Q10)</f>
        <v>75000</v>
      </c>
      <c r="S7" s="35">
        <f t="shared" si="1"/>
        <v>7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</row>
    <row r="8" spans="1:131" s="70" customFormat="1" ht="12">
      <c r="A8" s="35">
        <f t="shared" si="0"/>
        <v>8</v>
      </c>
      <c r="B8" s="86"/>
      <c r="C8" s="88" t="s">
        <v>28</v>
      </c>
      <c r="D8" s="153"/>
      <c r="E8" s="186">
        <v>30000</v>
      </c>
      <c r="F8" s="187"/>
      <c r="G8" s="153"/>
      <c r="H8" s="228">
        <f>+'[3]Diff Actual VS EST 2018'!E7</f>
        <v>60000</v>
      </c>
      <c r="I8" s="393"/>
      <c r="J8" s="42"/>
      <c r="K8" s="293">
        <v>45000</v>
      </c>
      <c r="L8" s="294"/>
      <c r="M8" s="225"/>
      <c r="N8" s="293"/>
      <c r="O8" s="294"/>
      <c r="P8" s="225"/>
      <c r="Q8" s="293">
        <f>+K8+N8</f>
        <v>45000</v>
      </c>
      <c r="R8" s="294"/>
      <c r="S8" s="35">
        <f t="shared" si="1"/>
        <v>8</v>
      </c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</row>
    <row r="9" spans="1:131" s="70" customFormat="1" ht="12">
      <c r="A9" s="35">
        <f t="shared" si="0"/>
        <v>9</v>
      </c>
      <c r="B9" s="86"/>
      <c r="C9" s="88" t="s">
        <v>109</v>
      </c>
      <c r="D9" s="153"/>
      <c r="E9" s="186">
        <v>1500</v>
      </c>
      <c r="F9" s="187"/>
      <c r="G9" s="153"/>
      <c r="H9" s="228">
        <f>+'[3]Diff Actual VS EST 2018'!E8</f>
        <v>1334</v>
      </c>
      <c r="I9" s="393"/>
      <c r="J9" s="42"/>
      <c r="K9" s="293">
        <v>0</v>
      </c>
      <c r="L9" s="294"/>
      <c r="M9" s="225"/>
      <c r="N9" s="293"/>
      <c r="O9" s="294"/>
      <c r="P9" s="225"/>
      <c r="Q9" s="293">
        <f>+K9+N9</f>
        <v>0</v>
      </c>
      <c r="R9" s="294"/>
      <c r="S9" s="35">
        <f t="shared" si="1"/>
        <v>9</v>
      </c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</row>
    <row r="10" spans="1:131" s="70" customFormat="1" ht="12">
      <c r="A10" s="35">
        <f t="shared" si="0"/>
        <v>10</v>
      </c>
      <c r="B10" s="86"/>
      <c r="C10" s="88" t="s">
        <v>103</v>
      </c>
      <c r="D10" s="153"/>
      <c r="E10" s="186"/>
      <c r="F10" s="187"/>
      <c r="G10" s="153"/>
      <c r="H10" s="228"/>
      <c r="I10" s="393"/>
      <c r="J10" s="42"/>
      <c r="K10" s="299"/>
      <c r="L10" s="294"/>
      <c r="M10" s="225"/>
      <c r="N10" s="480">
        <v>30000</v>
      </c>
      <c r="O10" s="294"/>
      <c r="P10" s="225"/>
      <c r="Q10" s="293">
        <f>+K10+N10</f>
        <v>30000</v>
      </c>
      <c r="R10" s="294"/>
      <c r="S10" s="35">
        <f t="shared" si="1"/>
        <v>10</v>
      </c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</row>
    <row r="11" spans="1:131" s="70" customFormat="1" ht="12">
      <c r="A11" s="35">
        <f t="shared" si="0"/>
        <v>11</v>
      </c>
      <c r="B11" s="86"/>
      <c r="C11" s="88"/>
      <c r="D11" s="153"/>
      <c r="E11" s="186"/>
      <c r="F11" s="187"/>
      <c r="G11" s="153"/>
      <c r="H11" s="228"/>
      <c r="I11" s="393"/>
      <c r="J11" s="42"/>
      <c r="K11" s="293"/>
      <c r="L11" s="294"/>
      <c r="M11" s="225"/>
      <c r="N11" s="293"/>
      <c r="O11" s="294"/>
      <c r="P11" s="225"/>
      <c r="Q11" s="293"/>
      <c r="R11" s="294"/>
      <c r="S11" s="35">
        <f t="shared" si="1"/>
        <v>11</v>
      </c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</row>
    <row r="12" spans="1:131" s="70" customFormat="1" ht="12">
      <c r="A12" s="35">
        <f t="shared" si="0"/>
        <v>12</v>
      </c>
      <c r="B12" s="121" t="s">
        <v>30</v>
      </c>
      <c r="C12" s="88"/>
      <c r="D12" s="153"/>
      <c r="E12" s="186"/>
      <c r="F12" s="188">
        <f>SUM(E13:E25)</f>
        <v>336500</v>
      </c>
      <c r="G12" s="153"/>
      <c r="H12" s="228"/>
      <c r="I12" s="296">
        <f>SUM(H13:H25)</f>
        <v>296213</v>
      </c>
      <c r="J12" s="42"/>
      <c r="K12" s="293"/>
      <c r="L12" s="296">
        <f>SUM(K13:K25)</f>
        <v>274500</v>
      </c>
      <c r="M12" s="225"/>
      <c r="N12" s="293"/>
      <c r="O12" s="296">
        <f>SUM(N13:N25)</f>
        <v>-2000</v>
      </c>
      <c r="P12" s="225"/>
      <c r="Q12" s="293"/>
      <c r="R12" s="296">
        <f>SUM(Q13:Q25)</f>
        <v>272500</v>
      </c>
      <c r="S12" s="35">
        <f t="shared" si="1"/>
        <v>12</v>
      </c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</row>
    <row r="13" spans="1:131" s="70" customFormat="1" ht="12">
      <c r="A13" s="35">
        <f t="shared" si="0"/>
        <v>13</v>
      </c>
      <c r="B13" s="90"/>
      <c r="C13" s="250" t="s">
        <v>45</v>
      </c>
      <c r="D13" s="189"/>
      <c r="E13" s="186">
        <v>117500</v>
      </c>
      <c r="F13" s="187"/>
      <c r="G13" s="189"/>
      <c r="H13" s="228">
        <f>+'[3]Diff Actual VS EST 2018'!E13</f>
        <v>136535</v>
      </c>
      <c r="I13" s="393"/>
      <c r="J13" s="298"/>
      <c r="K13" s="299">
        <f>135000+5000</f>
        <v>140000</v>
      </c>
      <c r="L13" s="294"/>
      <c r="M13" s="225"/>
      <c r="N13" s="480">
        <v>-19000</v>
      </c>
      <c r="O13" s="294"/>
      <c r="P13" s="225"/>
      <c r="Q13" s="299">
        <f>+K13+N13</f>
        <v>121000</v>
      </c>
      <c r="R13" s="294"/>
      <c r="S13" s="35">
        <f t="shared" si="1"/>
        <v>13</v>
      </c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</row>
    <row r="14" spans="1:131" s="70" customFormat="1" ht="12">
      <c r="A14" s="35">
        <f t="shared" si="0"/>
        <v>14</v>
      </c>
      <c r="B14" s="190"/>
      <c r="C14" s="221" t="s">
        <v>9</v>
      </c>
      <c r="D14" s="153"/>
      <c r="E14" s="186">
        <v>60000</v>
      </c>
      <c r="F14" s="187"/>
      <c r="G14" s="153"/>
      <c r="H14" s="228">
        <f>+'[3]Diff Actual VS EST 2018'!E14</f>
        <v>77439</v>
      </c>
      <c r="I14" s="393"/>
      <c r="J14" s="42"/>
      <c r="K14" s="299">
        <v>70000</v>
      </c>
      <c r="L14" s="294"/>
      <c r="M14" s="225"/>
      <c r="N14" s="293"/>
      <c r="O14" s="294"/>
      <c r="P14" s="225"/>
      <c r="Q14" s="299">
        <f t="shared" ref="Q14:Q26" si="2">+K14+N14</f>
        <v>70000</v>
      </c>
      <c r="R14" s="294"/>
      <c r="S14" s="35">
        <f t="shared" si="1"/>
        <v>14</v>
      </c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</row>
    <row r="15" spans="1:131" s="70" customFormat="1" ht="12">
      <c r="A15" s="35">
        <f t="shared" si="0"/>
        <v>15</v>
      </c>
      <c r="B15" s="93"/>
      <c r="C15" s="221" t="s">
        <v>84</v>
      </c>
      <c r="D15" s="153"/>
      <c r="E15" s="186">
        <f>+'[4]2015 ACT'!P13</f>
        <v>20000</v>
      </c>
      <c r="F15" s="187"/>
      <c r="G15" s="153"/>
      <c r="H15" s="228">
        <f>+'[3]Diff Actual VS EST 2018'!E15</f>
        <v>20000</v>
      </c>
      <c r="I15" s="393"/>
      <c r="J15" s="42"/>
      <c r="K15" s="293">
        <v>20000</v>
      </c>
      <c r="L15" s="294"/>
      <c r="M15" s="225"/>
      <c r="N15" s="293"/>
      <c r="O15" s="294"/>
      <c r="P15" s="225"/>
      <c r="Q15" s="299">
        <f t="shared" si="2"/>
        <v>20000</v>
      </c>
      <c r="R15" s="294"/>
      <c r="S15" s="35">
        <f t="shared" si="1"/>
        <v>15</v>
      </c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</row>
    <row r="16" spans="1:131" s="70" customFormat="1" ht="12">
      <c r="A16" s="35">
        <f t="shared" si="0"/>
        <v>16</v>
      </c>
      <c r="B16" s="93"/>
      <c r="C16" s="249" t="s">
        <v>47</v>
      </c>
      <c r="D16" s="153"/>
      <c r="E16" s="186">
        <v>25000</v>
      </c>
      <c r="F16" s="187"/>
      <c r="G16" s="153"/>
      <c r="H16" s="228">
        <f>+'[3]Diff Actual VS EST 2018'!E16</f>
        <v>8000</v>
      </c>
      <c r="I16" s="393"/>
      <c r="J16" s="42"/>
      <c r="K16" s="480">
        <v>0</v>
      </c>
      <c r="L16" s="294"/>
      <c r="M16" s="225"/>
      <c r="N16" s="293"/>
      <c r="O16" s="294"/>
      <c r="P16" s="225"/>
      <c r="Q16" s="299">
        <f t="shared" si="2"/>
        <v>0</v>
      </c>
      <c r="R16" s="294"/>
      <c r="S16" s="35">
        <f t="shared" si="1"/>
        <v>16</v>
      </c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</row>
    <row r="17" spans="1:131" s="70" customFormat="1" ht="12">
      <c r="A17" s="35">
        <f t="shared" si="0"/>
        <v>17</v>
      </c>
      <c r="B17" s="93"/>
      <c r="C17" s="221" t="s">
        <v>10</v>
      </c>
      <c r="D17" s="153"/>
      <c r="E17" s="186">
        <v>10000</v>
      </c>
      <c r="F17" s="187"/>
      <c r="G17" s="153"/>
      <c r="H17" s="228">
        <f>+'[3]Diff Actual VS EST 2018'!E17</f>
        <v>12300</v>
      </c>
      <c r="I17" s="393"/>
      <c r="J17" s="42"/>
      <c r="K17" s="293">
        <v>6000</v>
      </c>
      <c r="L17" s="294"/>
      <c r="M17" s="225"/>
      <c r="N17" s="480">
        <v>17000</v>
      </c>
      <c r="O17" s="294"/>
      <c r="P17" s="225"/>
      <c r="Q17" s="299">
        <f>+K17+N17</f>
        <v>23000</v>
      </c>
      <c r="R17" s="294"/>
      <c r="S17" s="35">
        <f t="shared" si="1"/>
        <v>17</v>
      </c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</row>
    <row r="18" spans="1:131" s="70" customFormat="1" ht="12">
      <c r="A18" s="35">
        <f t="shared" si="0"/>
        <v>18</v>
      </c>
      <c r="B18" s="93"/>
      <c r="C18" s="221" t="s">
        <v>85</v>
      </c>
      <c r="D18" s="153"/>
      <c r="E18" s="186">
        <v>10000</v>
      </c>
      <c r="F18" s="187"/>
      <c r="G18" s="153"/>
      <c r="H18" s="228">
        <f>+'[3]Diff Actual VS EST 2018'!E18</f>
        <v>15738</v>
      </c>
      <c r="I18" s="393"/>
      <c r="J18" s="42"/>
      <c r="K18" s="293">
        <v>12500</v>
      </c>
      <c r="L18" s="294"/>
      <c r="M18" s="225"/>
      <c r="N18" s="293"/>
      <c r="O18" s="294"/>
      <c r="P18" s="225"/>
      <c r="Q18" s="299">
        <f t="shared" si="2"/>
        <v>12500</v>
      </c>
      <c r="R18" s="294"/>
      <c r="S18" s="35">
        <f t="shared" si="1"/>
        <v>18</v>
      </c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</row>
    <row r="19" spans="1:131" s="70" customFormat="1" ht="12">
      <c r="A19" s="35">
        <f t="shared" si="0"/>
        <v>19</v>
      </c>
      <c r="B19" s="93"/>
      <c r="C19" s="249" t="s">
        <v>37</v>
      </c>
      <c r="D19" s="153"/>
      <c r="E19" s="186">
        <v>500</v>
      </c>
      <c r="F19" s="187"/>
      <c r="G19" s="153"/>
      <c r="H19" s="228">
        <f>+'[3]Diff Actual VS EST 2018'!E19</f>
        <v>750</v>
      </c>
      <c r="I19" s="393"/>
      <c r="J19" s="42"/>
      <c r="K19" s="480">
        <v>0</v>
      </c>
      <c r="L19" s="294"/>
      <c r="M19" s="225"/>
      <c r="N19" s="293"/>
      <c r="O19" s="294"/>
      <c r="P19" s="225"/>
      <c r="Q19" s="299">
        <f t="shared" si="2"/>
        <v>0</v>
      </c>
      <c r="R19" s="294"/>
      <c r="S19" s="35">
        <f t="shared" si="1"/>
        <v>19</v>
      </c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</row>
    <row r="20" spans="1:131" s="70" customFormat="1" ht="12">
      <c r="A20" s="35">
        <f t="shared" si="0"/>
        <v>20</v>
      </c>
      <c r="B20" s="93"/>
      <c r="C20" s="221" t="s">
        <v>38</v>
      </c>
      <c r="D20" s="153"/>
      <c r="E20" s="186">
        <v>15000</v>
      </c>
      <c r="F20" s="191"/>
      <c r="G20" s="153"/>
      <c r="H20" s="228">
        <f>+'[3]Diff Actual VS EST 2018'!E20</f>
        <v>20414</v>
      </c>
      <c r="I20" s="253"/>
      <c r="J20" s="42"/>
      <c r="K20" s="299">
        <v>15000</v>
      </c>
      <c r="L20" s="303"/>
      <c r="M20" s="225"/>
      <c r="N20" s="293"/>
      <c r="O20" s="303"/>
      <c r="P20" s="225"/>
      <c r="Q20" s="299">
        <f t="shared" si="2"/>
        <v>15000</v>
      </c>
      <c r="R20" s="303"/>
      <c r="S20" s="35">
        <f t="shared" si="1"/>
        <v>20</v>
      </c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</row>
    <row r="21" spans="1:131" s="70" customFormat="1" ht="12">
      <c r="A21" s="35">
        <f t="shared" si="0"/>
        <v>21</v>
      </c>
      <c r="B21" s="192"/>
      <c r="C21" s="193" t="s">
        <v>39</v>
      </c>
      <c r="D21" s="194"/>
      <c r="E21" s="186">
        <v>5000</v>
      </c>
      <c r="F21" s="191"/>
      <c r="G21" s="164"/>
      <c r="H21" s="228">
        <f>+'[3]Diff Actual VS EST 2018'!E21</f>
        <v>2500</v>
      </c>
      <c r="I21" s="253"/>
      <c r="J21" s="300"/>
      <c r="K21" s="293">
        <v>5000</v>
      </c>
      <c r="L21" s="303"/>
      <c r="M21" s="225"/>
      <c r="N21" s="293"/>
      <c r="O21" s="303"/>
      <c r="P21" s="225"/>
      <c r="Q21" s="299">
        <f t="shared" si="2"/>
        <v>5000</v>
      </c>
      <c r="R21" s="303"/>
      <c r="S21" s="35">
        <f t="shared" si="1"/>
        <v>21</v>
      </c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</row>
    <row r="22" spans="1:131" s="70" customFormat="1" ht="12">
      <c r="A22" s="35">
        <f t="shared" si="0"/>
        <v>22</v>
      </c>
      <c r="B22" s="190"/>
      <c r="C22" s="221" t="s">
        <v>40</v>
      </c>
      <c r="D22" s="164"/>
      <c r="E22" s="186">
        <v>8000</v>
      </c>
      <c r="F22" s="191"/>
      <c r="G22" s="164"/>
      <c r="H22" s="228">
        <f>+'[3]Diff Actual VS EST 2018'!E22</f>
        <v>0</v>
      </c>
      <c r="I22" s="253"/>
      <c r="J22" s="300"/>
      <c r="K22" s="293">
        <v>3000</v>
      </c>
      <c r="L22" s="303"/>
      <c r="M22" s="225"/>
      <c r="N22" s="293"/>
      <c r="O22" s="303"/>
      <c r="P22" s="225"/>
      <c r="Q22" s="299">
        <f t="shared" si="2"/>
        <v>3000</v>
      </c>
      <c r="R22" s="303"/>
      <c r="S22" s="35">
        <f t="shared" si="1"/>
        <v>22</v>
      </c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</row>
    <row r="23" spans="1:131" s="70" customFormat="1" ht="12">
      <c r="A23" s="35">
        <f t="shared" si="0"/>
        <v>23</v>
      </c>
      <c r="B23" s="190"/>
      <c r="C23" s="221" t="s">
        <v>8</v>
      </c>
      <c r="D23" s="164"/>
      <c r="E23" s="186">
        <v>65000</v>
      </c>
      <c r="F23" s="191"/>
      <c r="G23" s="164"/>
      <c r="H23" s="228">
        <f>+'[3]Diff Actual VS EST 2018'!E23</f>
        <v>0</v>
      </c>
      <c r="I23" s="253"/>
      <c r="J23" s="300"/>
      <c r="K23" s="293">
        <v>0</v>
      </c>
      <c r="L23" s="303"/>
      <c r="M23" s="225"/>
      <c r="N23" s="293"/>
      <c r="O23" s="303"/>
      <c r="P23" s="225"/>
      <c r="Q23" s="299">
        <f t="shared" si="2"/>
        <v>0</v>
      </c>
      <c r="R23" s="303"/>
      <c r="S23" s="35">
        <f t="shared" si="1"/>
        <v>23</v>
      </c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</row>
    <row r="24" spans="1:131" s="70" customFormat="1" ht="12">
      <c r="A24" s="35">
        <f t="shared" si="0"/>
        <v>24</v>
      </c>
      <c r="B24" s="190"/>
      <c r="C24" s="221" t="s">
        <v>41</v>
      </c>
      <c r="D24" s="164"/>
      <c r="E24" s="186">
        <v>500</v>
      </c>
      <c r="F24" s="191"/>
      <c r="G24" s="164"/>
      <c r="H24" s="228">
        <f>+'[3]Diff Actual VS EST 2018'!E24</f>
        <v>37</v>
      </c>
      <c r="I24" s="253"/>
      <c r="J24" s="300"/>
      <c r="K24" s="293">
        <v>500</v>
      </c>
      <c r="L24" s="303"/>
      <c r="M24" s="225"/>
      <c r="N24" s="293"/>
      <c r="O24" s="303"/>
      <c r="P24" s="225"/>
      <c r="Q24" s="299">
        <f t="shared" si="2"/>
        <v>500</v>
      </c>
      <c r="R24" s="303"/>
      <c r="S24" s="35">
        <f t="shared" si="1"/>
        <v>24</v>
      </c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</row>
    <row r="25" spans="1:131" s="70" customFormat="1" ht="12">
      <c r="A25" s="35">
        <f t="shared" si="0"/>
        <v>25</v>
      </c>
      <c r="B25" s="93"/>
      <c r="C25" s="88" t="s">
        <v>11</v>
      </c>
      <c r="D25" s="153"/>
      <c r="E25" s="184"/>
      <c r="F25" s="191"/>
      <c r="G25" s="153"/>
      <c r="H25" s="228">
        <f>+'[3]Diff Actual VS EST 2018'!E25</f>
        <v>2500</v>
      </c>
      <c r="I25" s="253"/>
      <c r="J25" s="42"/>
      <c r="K25" s="287">
        <v>2500</v>
      </c>
      <c r="L25" s="303"/>
      <c r="M25" s="225"/>
      <c r="N25" s="287"/>
      <c r="O25" s="303"/>
      <c r="P25" s="225"/>
      <c r="Q25" s="299">
        <f t="shared" si="2"/>
        <v>2500</v>
      </c>
      <c r="R25" s="303"/>
      <c r="S25" s="35">
        <f t="shared" si="1"/>
        <v>25</v>
      </c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</row>
    <row r="26" spans="1:131" s="70" customFormat="1" ht="12">
      <c r="A26" s="35">
        <f t="shared" si="0"/>
        <v>26</v>
      </c>
      <c r="B26" s="93"/>
      <c r="C26" s="88"/>
      <c r="D26" s="153"/>
      <c r="E26" s="202"/>
      <c r="F26" s="191"/>
      <c r="G26" s="153"/>
      <c r="H26" s="405"/>
      <c r="I26" s="253"/>
      <c r="J26" s="42"/>
      <c r="K26" s="318"/>
      <c r="L26" s="303"/>
      <c r="M26" s="225"/>
      <c r="N26" s="318"/>
      <c r="O26" s="303"/>
      <c r="P26" s="225"/>
      <c r="Q26" s="299">
        <f t="shared" si="2"/>
        <v>0</v>
      </c>
      <c r="R26" s="303"/>
      <c r="S26" s="35">
        <f t="shared" si="1"/>
        <v>26</v>
      </c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</row>
    <row r="27" spans="1:131" s="70" customFormat="1" ht="12">
      <c r="A27" s="35">
        <f t="shared" si="0"/>
        <v>27</v>
      </c>
      <c r="B27" s="305" t="s">
        <v>86</v>
      </c>
      <c r="C27" s="195"/>
      <c r="D27" s="164"/>
      <c r="E27" s="196"/>
      <c r="F27" s="197">
        <f>SUM(F5:F25)</f>
        <v>463000</v>
      </c>
      <c r="G27" s="164"/>
      <c r="H27" s="408"/>
      <c r="I27" s="197">
        <f>SUM(I5:I25)</f>
        <v>445786</v>
      </c>
      <c r="J27" s="300"/>
      <c r="K27" s="309"/>
      <c r="L27" s="481">
        <f>SUM(L5:L25)</f>
        <v>419500</v>
      </c>
      <c r="M27" s="225"/>
      <c r="N27" s="309"/>
      <c r="O27" s="481">
        <f>SUM(O5:O25)</f>
        <v>28000</v>
      </c>
      <c r="P27" s="225"/>
      <c r="Q27" s="309"/>
      <c r="R27" s="481">
        <f>SUM(R5:R25)</f>
        <v>447500</v>
      </c>
      <c r="S27" s="35">
        <f t="shared" si="1"/>
        <v>27</v>
      </c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</row>
    <row r="28" spans="1:131" s="70" customFormat="1" ht="13" thickBot="1">
      <c r="A28" s="35">
        <f t="shared" si="0"/>
        <v>28</v>
      </c>
      <c r="B28" s="93"/>
      <c r="C28" s="88"/>
      <c r="D28" s="153"/>
      <c r="E28" s="182"/>
      <c r="F28" s="198"/>
      <c r="G28" s="153"/>
      <c r="H28" s="228"/>
      <c r="I28" s="413"/>
      <c r="J28" s="42"/>
      <c r="K28" s="280"/>
      <c r="L28" s="313"/>
      <c r="M28" s="225"/>
      <c r="N28" s="280"/>
      <c r="O28" s="313"/>
      <c r="P28" s="225"/>
      <c r="Q28" s="280"/>
      <c r="R28" s="313"/>
      <c r="S28" s="35">
        <f t="shared" si="1"/>
        <v>28</v>
      </c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</row>
    <row r="29" spans="1:131" s="70" customFormat="1" ht="13" thickBot="1">
      <c r="A29" s="35">
        <f t="shared" si="0"/>
        <v>29</v>
      </c>
      <c r="B29" s="314" t="s">
        <v>87</v>
      </c>
      <c r="C29" s="176"/>
      <c r="D29" s="153"/>
      <c r="E29" s="182"/>
      <c r="F29" s="199"/>
      <c r="G29" s="153"/>
      <c r="H29" s="228"/>
      <c r="I29" s="393"/>
      <c r="J29" s="42"/>
      <c r="K29" s="280"/>
      <c r="L29" s="317"/>
      <c r="M29" s="225"/>
      <c r="N29" s="280"/>
      <c r="O29" s="317"/>
      <c r="P29" s="225"/>
      <c r="Q29" s="280"/>
      <c r="R29" s="317"/>
      <c r="S29" s="35">
        <f t="shared" si="1"/>
        <v>29</v>
      </c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</row>
    <row r="30" spans="1:131" s="70" customFormat="1" ht="12">
      <c r="A30" s="35">
        <f t="shared" si="0"/>
        <v>30</v>
      </c>
      <c r="B30" s="86" t="s">
        <v>44</v>
      </c>
      <c r="C30" s="88"/>
      <c r="D30" s="153"/>
      <c r="E30" s="186"/>
      <c r="F30" s="188">
        <f>SUM(E31:E42)</f>
        <v>270700</v>
      </c>
      <c r="G30" s="153"/>
      <c r="H30" s="228"/>
      <c r="I30" s="296">
        <f>SUM(H31:H43)</f>
        <v>222165</v>
      </c>
      <c r="J30" s="42"/>
      <c r="K30" s="293"/>
      <c r="L30" s="296">
        <f>SUM(K31:K43)</f>
        <v>197000</v>
      </c>
      <c r="M30" s="225"/>
      <c r="N30" s="293"/>
      <c r="O30" s="296">
        <f>SUM(N31:N43)</f>
        <v>-5000</v>
      </c>
      <c r="P30" s="225"/>
      <c r="Q30" s="293"/>
      <c r="R30" s="296">
        <f>SUM(Q31:Q43)</f>
        <v>192000</v>
      </c>
      <c r="S30" s="35">
        <f t="shared" si="1"/>
        <v>30</v>
      </c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</row>
    <row r="31" spans="1:131" s="70" customFormat="1" ht="12">
      <c r="A31" s="35">
        <f t="shared" si="0"/>
        <v>31</v>
      </c>
      <c r="B31" s="93"/>
      <c r="C31" s="221" t="s">
        <v>45</v>
      </c>
      <c r="D31" s="153"/>
      <c r="E31" s="222">
        <v>85000</v>
      </c>
      <c r="F31" s="187"/>
      <c r="G31" s="153"/>
      <c r="H31" s="228">
        <f>+'[3]Diff Actual VS EST 2018'!E31</f>
        <v>86165</v>
      </c>
      <c r="I31" s="393"/>
      <c r="J31" s="42"/>
      <c r="K31" s="299">
        <v>76000</v>
      </c>
      <c r="L31" s="294"/>
      <c r="M31" s="225"/>
      <c r="N31" s="480">
        <v>-5000</v>
      </c>
      <c r="O31" s="294"/>
      <c r="P31" s="225"/>
      <c r="Q31" s="299">
        <f>+K31+N31</f>
        <v>71000</v>
      </c>
      <c r="R31" s="294"/>
      <c r="S31" s="35">
        <f t="shared" si="1"/>
        <v>31</v>
      </c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</row>
    <row r="32" spans="1:131" s="70" customFormat="1" ht="12">
      <c r="A32" s="35">
        <f t="shared" si="0"/>
        <v>32</v>
      </c>
      <c r="B32" s="190"/>
      <c r="C32" s="221" t="s">
        <v>9</v>
      </c>
      <c r="D32" s="153"/>
      <c r="E32" s="186">
        <v>48200</v>
      </c>
      <c r="F32" s="187"/>
      <c r="G32" s="153"/>
      <c r="H32" s="228">
        <f>+'[3]Diff Actual VS EST 2018'!E32</f>
        <v>55798</v>
      </c>
      <c r="I32" s="393"/>
      <c r="J32" s="42"/>
      <c r="K32" s="293">
        <v>50000</v>
      </c>
      <c r="L32" s="294"/>
      <c r="M32" s="225"/>
      <c r="N32" s="293"/>
      <c r="O32" s="294"/>
      <c r="P32" s="225"/>
      <c r="Q32" s="299">
        <f t="shared" ref="Q32:Q43" si="3">+K32+N32</f>
        <v>50000</v>
      </c>
      <c r="R32" s="294"/>
      <c r="S32" s="35">
        <f t="shared" si="1"/>
        <v>32</v>
      </c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</row>
    <row r="33" spans="1:131" s="70" customFormat="1" ht="12">
      <c r="A33" s="35">
        <f t="shared" si="0"/>
        <v>33</v>
      </c>
      <c r="B33" s="93"/>
      <c r="C33" s="88" t="s">
        <v>46</v>
      </c>
      <c r="D33" s="153"/>
      <c r="E33" s="186">
        <f>+'[4]2015 ACT'!P27</f>
        <v>20000</v>
      </c>
      <c r="F33" s="187"/>
      <c r="G33" s="153"/>
      <c r="H33" s="228">
        <f>+'[3]Diff Actual VS EST 2018'!E33</f>
        <v>20000</v>
      </c>
      <c r="I33" s="393"/>
      <c r="J33" s="42"/>
      <c r="K33" s="293">
        <v>20000</v>
      </c>
      <c r="L33" s="294"/>
      <c r="M33" s="225"/>
      <c r="N33" s="293"/>
      <c r="O33" s="294"/>
      <c r="P33" s="225"/>
      <c r="Q33" s="299">
        <f t="shared" si="3"/>
        <v>20000</v>
      </c>
      <c r="R33" s="294"/>
      <c r="S33" s="35">
        <f t="shared" si="1"/>
        <v>33</v>
      </c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</row>
    <row r="34" spans="1:131" s="70" customFormat="1" ht="12">
      <c r="A34" s="35">
        <f t="shared" si="0"/>
        <v>34</v>
      </c>
      <c r="B34" s="93"/>
      <c r="C34" s="249" t="s">
        <v>47</v>
      </c>
      <c r="D34" s="153"/>
      <c r="E34" s="186">
        <v>13000</v>
      </c>
      <c r="F34" s="187"/>
      <c r="G34" s="153"/>
      <c r="H34" s="228">
        <f>+'[3]Diff Actual VS EST 2018'!E34</f>
        <v>11896</v>
      </c>
      <c r="I34" s="393"/>
      <c r="J34" s="42"/>
      <c r="K34" s="480">
        <v>0</v>
      </c>
      <c r="L34" s="294"/>
      <c r="M34" s="225"/>
      <c r="N34" s="293"/>
      <c r="O34" s="294"/>
      <c r="P34" s="225"/>
      <c r="Q34" s="299">
        <f t="shared" si="3"/>
        <v>0</v>
      </c>
      <c r="R34" s="294"/>
      <c r="S34" s="35">
        <f t="shared" si="1"/>
        <v>34</v>
      </c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</row>
    <row r="35" spans="1:131" s="70" customFormat="1" ht="12">
      <c r="A35" s="35">
        <f t="shared" si="0"/>
        <v>35</v>
      </c>
      <c r="B35" s="93"/>
      <c r="C35" s="88" t="s">
        <v>10</v>
      </c>
      <c r="D35" s="153"/>
      <c r="E35" s="186">
        <v>5000</v>
      </c>
      <c r="F35" s="187"/>
      <c r="G35" s="153"/>
      <c r="H35" s="228">
        <f>+'[3]Diff Actual VS EST 2018'!E35</f>
        <v>2775</v>
      </c>
      <c r="I35" s="393"/>
      <c r="J35" s="42"/>
      <c r="K35" s="293">
        <v>8500</v>
      </c>
      <c r="L35" s="294"/>
      <c r="M35" s="225"/>
      <c r="N35" s="293"/>
      <c r="O35" s="294"/>
      <c r="P35" s="225"/>
      <c r="Q35" s="299">
        <f t="shared" si="3"/>
        <v>8500</v>
      </c>
      <c r="R35" s="294"/>
      <c r="S35" s="35">
        <f t="shared" si="1"/>
        <v>35</v>
      </c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</row>
    <row r="36" spans="1:131" s="70" customFormat="1" ht="12">
      <c r="A36" s="35">
        <f t="shared" si="0"/>
        <v>36</v>
      </c>
      <c r="B36" s="93"/>
      <c r="C36" s="88" t="s">
        <v>48</v>
      </c>
      <c r="D36" s="153"/>
      <c r="E36" s="186">
        <v>14000</v>
      </c>
      <c r="F36" s="187"/>
      <c r="G36" s="153"/>
      <c r="H36" s="228">
        <f>+'[3]Diff Actual VS EST 2018'!E36</f>
        <v>19250</v>
      </c>
      <c r="I36" s="393"/>
      <c r="J36" s="42"/>
      <c r="K36" s="293">
        <v>15000</v>
      </c>
      <c r="L36" s="294"/>
      <c r="M36" s="225"/>
      <c r="N36" s="293"/>
      <c r="O36" s="294"/>
      <c r="P36" s="225"/>
      <c r="Q36" s="299">
        <f t="shared" si="3"/>
        <v>15000</v>
      </c>
      <c r="R36" s="294"/>
      <c r="S36" s="35">
        <f t="shared" si="1"/>
        <v>36</v>
      </c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</row>
    <row r="37" spans="1:131" s="70" customFormat="1" ht="12">
      <c r="A37" s="35">
        <f t="shared" si="0"/>
        <v>37</v>
      </c>
      <c r="B37" s="190"/>
      <c r="C37" s="221" t="s">
        <v>49</v>
      </c>
      <c r="D37" s="153"/>
      <c r="E37" s="186">
        <v>4000</v>
      </c>
      <c r="F37" s="187"/>
      <c r="G37" s="153"/>
      <c r="H37" s="228">
        <f>+'[3]Diff Actual VS EST 2018'!E37</f>
        <v>8191</v>
      </c>
      <c r="I37" s="393"/>
      <c r="J37" s="42"/>
      <c r="K37" s="293">
        <v>5000</v>
      </c>
      <c r="L37" s="294"/>
      <c r="M37" s="225"/>
      <c r="N37" s="293"/>
      <c r="O37" s="294"/>
      <c r="P37" s="225"/>
      <c r="Q37" s="299">
        <f t="shared" si="3"/>
        <v>5000</v>
      </c>
      <c r="R37" s="294"/>
      <c r="S37" s="35">
        <f t="shared" si="1"/>
        <v>37</v>
      </c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</row>
    <row r="38" spans="1:131" s="70" customFormat="1" ht="12">
      <c r="A38" s="35">
        <f t="shared" si="0"/>
        <v>38</v>
      </c>
      <c r="B38" s="93"/>
      <c r="C38" s="249" t="s">
        <v>37</v>
      </c>
      <c r="D38" s="153"/>
      <c r="E38" s="186">
        <v>500</v>
      </c>
      <c r="F38" s="187"/>
      <c r="G38" s="153"/>
      <c r="H38" s="228">
        <f>+'[3]Diff Actual VS EST 2018'!E38</f>
        <v>0</v>
      </c>
      <c r="I38" s="393"/>
      <c r="J38" s="42"/>
      <c r="K38" s="480">
        <v>0</v>
      </c>
      <c r="L38" s="294"/>
      <c r="M38" s="225"/>
      <c r="N38" s="293"/>
      <c r="O38" s="294"/>
      <c r="P38" s="225"/>
      <c r="Q38" s="299">
        <f t="shared" si="3"/>
        <v>0</v>
      </c>
      <c r="R38" s="294"/>
      <c r="S38" s="35">
        <f t="shared" si="1"/>
        <v>38</v>
      </c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</row>
    <row r="39" spans="1:131" s="201" customFormat="1" ht="12">
      <c r="A39" s="35">
        <f t="shared" si="0"/>
        <v>39</v>
      </c>
      <c r="B39" s="190"/>
      <c r="C39" s="221" t="s">
        <v>111</v>
      </c>
      <c r="D39" s="164"/>
      <c r="E39" s="200">
        <v>5000</v>
      </c>
      <c r="F39" s="187"/>
      <c r="G39" s="164"/>
      <c r="H39" s="228">
        <f>+'[3]Diff Actual VS EST 2018'!E39</f>
        <v>1500</v>
      </c>
      <c r="I39" s="393"/>
      <c r="J39" s="300"/>
      <c r="K39" s="280">
        <v>5000</v>
      </c>
      <c r="L39" s="294"/>
      <c r="M39" s="225"/>
      <c r="N39" s="280"/>
      <c r="O39" s="294"/>
      <c r="P39" s="225"/>
      <c r="Q39" s="299">
        <f t="shared" si="3"/>
        <v>5000</v>
      </c>
      <c r="R39" s="294"/>
      <c r="S39" s="35">
        <f t="shared" si="1"/>
        <v>39</v>
      </c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</row>
    <row r="40" spans="1:131" s="70" customFormat="1" ht="12">
      <c r="A40" s="35">
        <f t="shared" si="0"/>
        <v>40</v>
      </c>
      <c r="B40" s="93"/>
      <c r="C40" s="88" t="s">
        <v>38</v>
      </c>
      <c r="D40" s="164"/>
      <c r="E40" s="186">
        <v>15000</v>
      </c>
      <c r="F40" s="187"/>
      <c r="G40" s="164"/>
      <c r="H40" s="228">
        <f>+'[3]Diff Actual VS EST 2018'!E40</f>
        <v>14047</v>
      </c>
      <c r="I40" s="393"/>
      <c r="J40" s="300"/>
      <c r="K40" s="293">
        <v>12500</v>
      </c>
      <c r="L40" s="294"/>
      <c r="M40" s="225"/>
      <c r="N40" s="293"/>
      <c r="O40" s="294"/>
      <c r="P40" s="225"/>
      <c r="Q40" s="299">
        <f t="shared" si="3"/>
        <v>12500</v>
      </c>
      <c r="R40" s="294"/>
      <c r="S40" s="35">
        <f t="shared" si="1"/>
        <v>40</v>
      </c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</row>
    <row r="41" spans="1:131" s="201" customFormat="1" ht="12">
      <c r="A41" s="35">
        <f t="shared" si="0"/>
        <v>41</v>
      </c>
      <c r="B41" s="190"/>
      <c r="C41" s="221" t="s">
        <v>12</v>
      </c>
      <c r="D41" s="164"/>
      <c r="E41" s="186">
        <v>6000</v>
      </c>
      <c r="F41" s="187"/>
      <c r="G41" s="164"/>
      <c r="H41" s="228">
        <f>+'[3]Diff Actual VS EST 2018'!E41</f>
        <v>0</v>
      </c>
      <c r="I41" s="393"/>
      <c r="J41" s="300"/>
      <c r="K41" s="293">
        <v>2500</v>
      </c>
      <c r="L41" s="294"/>
      <c r="M41" s="225"/>
      <c r="N41" s="293"/>
      <c r="O41" s="294"/>
      <c r="P41" s="225"/>
      <c r="Q41" s="299">
        <f t="shared" si="3"/>
        <v>2500</v>
      </c>
      <c r="R41" s="294"/>
      <c r="S41" s="35">
        <f t="shared" si="1"/>
        <v>41</v>
      </c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</row>
    <row r="42" spans="1:131" s="201" customFormat="1" ht="12">
      <c r="A42" s="35">
        <f t="shared" si="0"/>
        <v>42</v>
      </c>
      <c r="B42" s="190"/>
      <c r="C42" s="221" t="s">
        <v>8</v>
      </c>
      <c r="D42" s="164"/>
      <c r="E42" s="186">
        <v>55000</v>
      </c>
      <c r="F42" s="187"/>
      <c r="G42" s="164"/>
      <c r="H42" s="228">
        <f>+'[3]Diff Actual VS EST 2018'!E42</f>
        <v>0</v>
      </c>
      <c r="I42" s="393"/>
      <c r="J42" s="300"/>
      <c r="K42" s="299">
        <v>0</v>
      </c>
      <c r="L42" s="294"/>
      <c r="M42" s="225"/>
      <c r="N42" s="293"/>
      <c r="O42" s="294"/>
      <c r="P42" s="225"/>
      <c r="Q42" s="299">
        <f t="shared" si="3"/>
        <v>0</v>
      </c>
      <c r="R42" s="294"/>
      <c r="S42" s="35">
        <f t="shared" si="1"/>
        <v>42</v>
      </c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</row>
    <row r="43" spans="1:131" s="70" customFormat="1" ht="12">
      <c r="A43" s="35">
        <f t="shared" si="0"/>
        <v>43</v>
      </c>
      <c r="B43" s="93"/>
      <c r="C43" s="88" t="s">
        <v>11</v>
      </c>
      <c r="D43" s="153"/>
      <c r="E43" s="186"/>
      <c r="F43" s="187"/>
      <c r="G43" s="153"/>
      <c r="H43" s="228">
        <f>+'[3]Diff Actual VS EST 2018'!E43</f>
        <v>2543</v>
      </c>
      <c r="I43" s="393"/>
      <c r="J43" s="42"/>
      <c r="K43" s="293">
        <v>2500</v>
      </c>
      <c r="L43" s="294"/>
      <c r="M43" s="225"/>
      <c r="N43" s="293"/>
      <c r="O43" s="294"/>
      <c r="P43" s="225"/>
      <c r="Q43" s="299">
        <f t="shared" si="3"/>
        <v>2500</v>
      </c>
      <c r="R43" s="294"/>
      <c r="S43" s="35">
        <f t="shared" si="1"/>
        <v>43</v>
      </c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</row>
    <row r="44" spans="1:131" s="70" customFormat="1" ht="12">
      <c r="A44" s="35">
        <f t="shared" si="0"/>
        <v>44</v>
      </c>
      <c r="B44" s="93"/>
      <c r="C44" s="88"/>
      <c r="D44" s="153"/>
      <c r="E44" s="186"/>
      <c r="F44" s="187"/>
      <c r="G44" s="153"/>
      <c r="H44" s="228"/>
      <c r="I44" s="393"/>
      <c r="J44" s="42"/>
      <c r="K44" s="293"/>
      <c r="L44" s="294"/>
      <c r="M44" s="225"/>
      <c r="N44" s="293"/>
      <c r="O44" s="294"/>
      <c r="P44" s="225"/>
      <c r="Q44" s="293"/>
      <c r="R44" s="294"/>
      <c r="S44" s="35">
        <f t="shared" si="1"/>
        <v>44</v>
      </c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</row>
    <row r="45" spans="1:131" s="70" customFormat="1" ht="12">
      <c r="A45" s="35">
        <f t="shared" si="0"/>
        <v>45</v>
      </c>
      <c r="B45" s="93" t="s">
        <v>89</v>
      </c>
      <c r="C45" s="88"/>
      <c r="D45" s="153"/>
      <c r="E45" s="186"/>
      <c r="F45" s="188">
        <f>SUM(E46:E48)</f>
        <v>1500</v>
      </c>
      <c r="G45" s="153"/>
      <c r="H45" s="228"/>
      <c r="I45" s="296">
        <f>SUM(H46:H48)</f>
        <v>119</v>
      </c>
      <c r="J45" s="42"/>
      <c r="K45" s="293"/>
      <c r="L45" s="296">
        <f>SUM(K46:K48)</f>
        <v>1500</v>
      </c>
      <c r="M45" s="225"/>
      <c r="N45" s="293"/>
      <c r="O45" s="296">
        <f>SUM(N46:N48)</f>
        <v>0</v>
      </c>
      <c r="P45" s="225"/>
      <c r="Q45" s="293"/>
      <c r="R45" s="296">
        <f>SUM(Q46:Q48)</f>
        <v>1500</v>
      </c>
      <c r="S45" s="35">
        <f t="shared" si="1"/>
        <v>45</v>
      </c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</row>
    <row r="46" spans="1:131" s="70" customFormat="1" ht="12">
      <c r="A46" s="35">
        <f t="shared" si="0"/>
        <v>46</v>
      </c>
      <c r="B46" s="93"/>
      <c r="C46" s="88" t="s">
        <v>53</v>
      </c>
      <c r="D46" s="153"/>
      <c r="E46" s="186">
        <f>+'[4]2015 ACT'!P36</f>
        <v>750</v>
      </c>
      <c r="F46" s="187"/>
      <c r="G46" s="153"/>
      <c r="H46" s="228">
        <f>+'[5]EST 2018'!M46</f>
        <v>0</v>
      </c>
      <c r="I46" s="393"/>
      <c r="J46" s="42"/>
      <c r="K46" s="293">
        <v>0</v>
      </c>
      <c r="L46" s="294"/>
      <c r="M46" s="225"/>
      <c r="N46" s="293"/>
      <c r="O46" s="294"/>
      <c r="P46" s="225"/>
      <c r="Q46" s="293">
        <f>+K46+N46</f>
        <v>0</v>
      </c>
      <c r="R46" s="294"/>
      <c r="S46" s="35">
        <f t="shared" si="1"/>
        <v>46</v>
      </c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</row>
    <row r="47" spans="1:131" s="70" customFormat="1" ht="12">
      <c r="A47" s="35">
        <f t="shared" si="0"/>
        <v>47</v>
      </c>
      <c r="B47" s="93"/>
      <c r="C47" s="88" t="s">
        <v>54</v>
      </c>
      <c r="D47" s="153"/>
      <c r="E47" s="186">
        <v>750</v>
      </c>
      <c r="F47" s="187"/>
      <c r="G47" s="153"/>
      <c r="H47" s="228">
        <f>+'[3]Diff Actual VS EST 2018'!E48</f>
        <v>119</v>
      </c>
      <c r="I47" s="393"/>
      <c r="J47" s="42"/>
      <c r="K47" s="293">
        <v>1500</v>
      </c>
      <c r="L47" s="294"/>
      <c r="M47" s="225"/>
      <c r="N47" s="293"/>
      <c r="O47" s="294"/>
      <c r="P47" s="225"/>
      <c r="Q47" s="293">
        <f>+K47+N47</f>
        <v>1500</v>
      </c>
      <c r="R47" s="294"/>
      <c r="S47" s="35">
        <f t="shared" si="1"/>
        <v>47</v>
      </c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</row>
    <row r="48" spans="1:131" s="70" customFormat="1" ht="12">
      <c r="A48" s="35">
        <f t="shared" si="0"/>
        <v>48</v>
      </c>
      <c r="B48" s="93"/>
      <c r="C48" s="88"/>
      <c r="D48" s="153"/>
      <c r="E48" s="186"/>
      <c r="F48" s="187"/>
      <c r="G48" s="153"/>
      <c r="H48" s="228"/>
      <c r="I48" s="393"/>
      <c r="J48" s="42"/>
      <c r="K48" s="293"/>
      <c r="L48" s="294"/>
      <c r="M48" s="225"/>
      <c r="N48" s="293"/>
      <c r="O48" s="294"/>
      <c r="P48" s="225"/>
      <c r="Q48" s="293"/>
      <c r="R48" s="294"/>
      <c r="S48" s="35">
        <f t="shared" si="1"/>
        <v>48</v>
      </c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</row>
    <row r="49" spans="1:131" s="70" customFormat="1" ht="12">
      <c r="A49" s="35">
        <f t="shared" si="0"/>
        <v>49</v>
      </c>
      <c r="B49" s="93"/>
      <c r="C49" s="88"/>
      <c r="D49" s="153"/>
      <c r="E49" s="186"/>
      <c r="F49" s="187"/>
      <c r="G49" s="153"/>
      <c r="H49" s="228"/>
      <c r="I49" s="393"/>
      <c r="J49" s="42"/>
      <c r="K49" s="293"/>
      <c r="L49" s="294"/>
      <c r="M49" s="225"/>
      <c r="N49" s="293"/>
      <c r="O49" s="294"/>
      <c r="P49" s="225"/>
      <c r="Q49" s="293"/>
      <c r="R49" s="294"/>
      <c r="S49" s="35">
        <f t="shared" si="1"/>
        <v>49</v>
      </c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</row>
    <row r="50" spans="1:131" s="70" customFormat="1" ht="12">
      <c r="A50" s="35">
        <f t="shared" si="0"/>
        <v>50</v>
      </c>
      <c r="B50" s="93" t="s">
        <v>55</v>
      </c>
      <c r="C50" s="88"/>
      <c r="D50" s="153"/>
      <c r="E50" s="186"/>
      <c r="F50" s="188">
        <f>SUM(E51:E61)</f>
        <v>33550</v>
      </c>
      <c r="G50" s="153"/>
      <c r="H50" s="228"/>
      <c r="I50" s="296">
        <f>SUM(H51:H61)</f>
        <v>16974</v>
      </c>
      <c r="J50" s="42"/>
      <c r="K50" s="293"/>
      <c r="L50" s="296">
        <f>SUM(K51:K62)</f>
        <v>31950</v>
      </c>
      <c r="M50" s="225"/>
      <c r="N50" s="293"/>
      <c r="O50" s="296">
        <f>SUM(N51:N62)</f>
        <v>13000</v>
      </c>
      <c r="P50" s="225"/>
      <c r="Q50" s="293"/>
      <c r="R50" s="296">
        <f>SUM(Q51:Q62)</f>
        <v>44950</v>
      </c>
      <c r="S50" s="35">
        <f t="shared" si="1"/>
        <v>50</v>
      </c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</row>
    <row r="51" spans="1:131" s="70" customFormat="1" ht="12">
      <c r="A51" s="35">
        <f t="shared" si="0"/>
        <v>51</v>
      </c>
      <c r="B51" s="121"/>
      <c r="C51" s="88" t="s">
        <v>56</v>
      </c>
      <c r="D51" s="153"/>
      <c r="E51" s="186">
        <v>4500</v>
      </c>
      <c r="F51" s="187"/>
      <c r="G51" s="153"/>
      <c r="H51" s="228">
        <f>+'[3]Diff Actual VS EST 2018'!E52</f>
        <v>4533</v>
      </c>
      <c r="I51" s="393"/>
      <c r="J51" s="42"/>
      <c r="K51" s="293">
        <v>4500</v>
      </c>
      <c r="L51" s="294"/>
      <c r="M51" s="225"/>
      <c r="N51" s="293"/>
      <c r="O51" s="294"/>
      <c r="P51" s="225"/>
      <c r="Q51" s="293">
        <f>+K51+N51</f>
        <v>4500</v>
      </c>
      <c r="R51" s="294"/>
      <c r="S51" s="35">
        <f t="shared" si="1"/>
        <v>51</v>
      </c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</row>
    <row r="52" spans="1:131" s="70" customFormat="1" ht="12">
      <c r="A52" s="35">
        <f t="shared" si="0"/>
        <v>52</v>
      </c>
      <c r="B52" s="121"/>
      <c r="C52" s="88" t="s">
        <v>57</v>
      </c>
      <c r="D52" s="153"/>
      <c r="E52" s="186">
        <v>2500</v>
      </c>
      <c r="F52" s="187"/>
      <c r="G52" s="153"/>
      <c r="H52" s="228">
        <f>+'[3]Diff Actual VS EST 2018'!E53</f>
        <v>2444</v>
      </c>
      <c r="I52" s="393"/>
      <c r="J52" s="42"/>
      <c r="K52" s="293">
        <v>3000</v>
      </c>
      <c r="L52" s="294"/>
      <c r="M52" s="225"/>
      <c r="N52" s="293"/>
      <c r="O52" s="294"/>
      <c r="P52" s="225"/>
      <c r="Q52" s="293">
        <f t="shared" ref="Q52:Q62" si="4">+K52+N52</f>
        <v>3000</v>
      </c>
      <c r="R52" s="294"/>
      <c r="S52" s="35">
        <f t="shared" si="1"/>
        <v>52</v>
      </c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</row>
    <row r="53" spans="1:131" s="70" customFormat="1" ht="12">
      <c r="A53" s="35">
        <f t="shared" si="0"/>
        <v>53</v>
      </c>
      <c r="B53" s="93"/>
      <c r="C53" s="88" t="s">
        <v>58</v>
      </c>
      <c r="D53" s="153"/>
      <c r="E53" s="186">
        <v>2000</v>
      </c>
      <c r="F53" s="187"/>
      <c r="G53" s="153"/>
      <c r="H53" s="228">
        <f>+'[3]Diff Actual VS EST 2018'!E54</f>
        <v>1306</v>
      </c>
      <c r="I53" s="393"/>
      <c r="J53" s="42"/>
      <c r="K53" s="293">
        <v>2200</v>
      </c>
      <c r="L53" s="294"/>
      <c r="M53" s="225"/>
      <c r="N53" s="293"/>
      <c r="O53" s="294"/>
      <c r="P53" s="225"/>
      <c r="Q53" s="293">
        <f t="shared" si="4"/>
        <v>2200</v>
      </c>
      <c r="R53" s="294"/>
      <c r="S53" s="35">
        <f t="shared" si="1"/>
        <v>53</v>
      </c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</row>
    <row r="54" spans="1:131" s="70" customFormat="1" ht="12">
      <c r="A54" s="35">
        <f t="shared" si="0"/>
        <v>54</v>
      </c>
      <c r="B54" s="190"/>
      <c r="C54" s="221" t="s">
        <v>90</v>
      </c>
      <c r="D54" s="164"/>
      <c r="E54" s="186">
        <v>6500</v>
      </c>
      <c r="F54" s="187"/>
      <c r="G54" s="153"/>
      <c r="H54" s="228">
        <f>+'[3]Diff Actual VS EST 2018'!E55</f>
        <v>1511</v>
      </c>
      <c r="I54" s="393"/>
      <c r="J54" s="42"/>
      <c r="K54" s="293">
        <v>3500</v>
      </c>
      <c r="L54" s="294"/>
      <c r="M54" s="225"/>
      <c r="N54" s="293"/>
      <c r="O54" s="294"/>
      <c r="P54" s="225"/>
      <c r="Q54" s="293">
        <f t="shared" si="4"/>
        <v>3500</v>
      </c>
      <c r="R54" s="294"/>
      <c r="S54" s="35">
        <f t="shared" si="1"/>
        <v>54</v>
      </c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</row>
    <row r="55" spans="1:131" s="70" customFormat="1" ht="12">
      <c r="A55" s="35">
        <f t="shared" si="0"/>
        <v>55</v>
      </c>
      <c r="B55" s="93"/>
      <c r="C55" s="88" t="s">
        <v>104</v>
      </c>
      <c r="D55" s="153"/>
      <c r="E55" s="186">
        <v>3500</v>
      </c>
      <c r="F55" s="187"/>
      <c r="G55" s="153"/>
      <c r="H55" s="228">
        <f>+'[3]Diff Actual VS EST 2018'!E56</f>
        <v>3988</v>
      </c>
      <c r="I55" s="393"/>
      <c r="J55" s="42"/>
      <c r="K55" s="293">
        <v>3500</v>
      </c>
      <c r="L55" s="294"/>
      <c r="M55" s="225"/>
      <c r="N55" s="480">
        <v>13000</v>
      </c>
      <c r="O55" s="294"/>
      <c r="P55" s="225"/>
      <c r="Q55" s="293">
        <f t="shared" si="4"/>
        <v>16500</v>
      </c>
      <c r="R55" s="294"/>
      <c r="S55" s="35">
        <f t="shared" si="1"/>
        <v>55</v>
      </c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</row>
    <row r="56" spans="1:131" s="70" customFormat="1" ht="12">
      <c r="A56" s="35">
        <f t="shared" si="0"/>
        <v>56</v>
      </c>
      <c r="B56" s="93"/>
      <c r="C56" s="88" t="s">
        <v>61</v>
      </c>
      <c r="D56" s="153"/>
      <c r="E56" s="186">
        <v>500</v>
      </c>
      <c r="F56" s="187"/>
      <c r="G56" s="153"/>
      <c r="H56" s="228">
        <f>+'[3]Diff Actual VS EST 2018'!E57</f>
        <v>0</v>
      </c>
      <c r="I56" s="393"/>
      <c r="J56" s="42"/>
      <c r="K56" s="293">
        <v>0</v>
      </c>
      <c r="L56" s="294"/>
      <c r="M56" s="225"/>
      <c r="N56" s="293"/>
      <c r="O56" s="294"/>
      <c r="P56" s="225"/>
      <c r="Q56" s="293">
        <f t="shared" si="4"/>
        <v>0</v>
      </c>
      <c r="R56" s="294"/>
      <c r="S56" s="35">
        <f t="shared" si="1"/>
        <v>56</v>
      </c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</row>
    <row r="57" spans="1:131" s="70" customFormat="1" ht="12">
      <c r="A57" s="35">
        <f t="shared" si="0"/>
        <v>57</v>
      </c>
      <c r="B57" s="93"/>
      <c r="C57" s="88" t="s">
        <v>62</v>
      </c>
      <c r="D57" s="153"/>
      <c r="E57" s="186">
        <v>2000</v>
      </c>
      <c r="F57" s="187"/>
      <c r="G57" s="153"/>
      <c r="H57" s="228">
        <f>+'[3]Diff Actual VS EST 2018'!E58</f>
        <v>842</v>
      </c>
      <c r="I57" s="393"/>
      <c r="J57" s="42"/>
      <c r="K57" s="293">
        <v>2000</v>
      </c>
      <c r="L57" s="294"/>
      <c r="M57" s="225"/>
      <c r="N57" s="293"/>
      <c r="O57" s="294"/>
      <c r="P57" s="225"/>
      <c r="Q57" s="293">
        <f t="shared" si="4"/>
        <v>2000</v>
      </c>
      <c r="R57" s="294"/>
      <c r="S57" s="35">
        <f t="shared" si="1"/>
        <v>57</v>
      </c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</row>
    <row r="58" spans="1:131" s="70" customFormat="1" ht="12">
      <c r="A58" s="35">
        <f t="shared" si="0"/>
        <v>58</v>
      </c>
      <c r="B58" s="93"/>
      <c r="C58" s="88" t="s">
        <v>63</v>
      </c>
      <c r="D58" s="153"/>
      <c r="E58" s="186">
        <v>750</v>
      </c>
      <c r="F58" s="187"/>
      <c r="G58" s="153"/>
      <c r="H58" s="228">
        <f>+'[3]Diff Actual VS EST 2018'!E59</f>
        <v>66</v>
      </c>
      <c r="I58" s="393"/>
      <c r="J58" s="42"/>
      <c r="K58" s="293">
        <v>500</v>
      </c>
      <c r="L58" s="294"/>
      <c r="M58" s="225"/>
      <c r="N58" s="293"/>
      <c r="O58" s="294"/>
      <c r="P58" s="225"/>
      <c r="Q58" s="293">
        <f t="shared" si="4"/>
        <v>500</v>
      </c>
      <c r="R58" s="294"/>
      <c r="S58" s="35">
        <f t="shared" si="1"/>
        <v>58</v>
      </c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</row>
    <row r="59" spans="1:131" s="70" customFormat="1" ht="12">
      <c r="A59" s="35">
        <f t="shared" si="0"/>
        <v>59</v>
      </c>
      <c r="B59" s="93"/>
      <c r="C59" s="88" t="s">
        <v>64</v>
      </c>
      <c r="D59" s="153"/>
      <c r="E59" s="186">
        <v>800</v>
      </c>
      <c r="F59" s="187"/>
      <c r="G59" s="153"/>
      <c r="H59" s="228">
        <f>+'[3]Diff Actual VS EST 2018'!E60</f>
        <v>-64</v>
      </c>
      <c r="I59" s="393"/>
      <c r="J59" s="42"/>
      <c r="K59" s="293">
        <v>500</v>
      </c>
      <c r="L59" s="294"/>
      <c r="M59" s="225"/>
      <c r="N59" s="293"/>
      <c r="O59" s="294"/>
      <c r="P59" s="225"/>
      <c r="Q59" s="293">
        <f t="shared" si="4"/>
        <v>500</v>
      </c>
      <c r="R59" s="294"/>
      <c r="S59" s="35">
        <f t="shared" si="1"/>
        <v>59</v>
      </c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</row>
    <row r="60" spans="1:131" s="70" customFormat="1" ht="12">
      <c r="A60" s="35">
        <f t="shared" si="0"/>
        <v>60</v>
      </c>
      <c r="B60" s="190"/>
      <c r="C60" s="221" t="s">
        <v>65</v>
      </c>
      <c r="D60" s="164"/>
      <c r="E60" s="186">
        <v>10000</v>
      </c>
      <c r="F60" s="187"/>
      <c r="G60" s="153"/>
      <c r="H60" s="228">
        <f>+'[3]Diff Actual VS EST 2018'!E61</f>
        <v>2348</v>
      </c>
      <c r="I60" s="393"/>
      <c r="J60" s="42"/>
      <c r="K60" s="293">
        <v>5500</v>
      </c>
      <c r="L60" s="294"/>
      <c r="M60" s="225"/>
      <c r="N60" s="293"/>
      <c r="O60" s="294"/>
      <c r="P60" s="225"/>
      <c r="Q60" s="293">
        <f t="shared" si="4"/>
        <v>5500</v>
      </c>
      <c r="R60" s="294"/>
      <c r="S60" s="35">
        <f t="shared" si="1"/>
        <v>60</v>
      </c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</row>
    <row r="61" spans="1:131" s="70" customFormat="1" ht="12">
      <c r="A61" s="35">
        <f t="shared" si="0"/>
        <v>61</v>
      </c>
      <c r="B61" s="93"/>
      <c r="C61" s="88" t="s">
        <v>41</v>
      </c>
      <c r="D61" s="153"/>
      <c r="E61" s="186">
        <v>500</v>
      </c>
      <c r="F61" s="187"/>
      <c r="G61" s="153"/>
      <c r="H61" s="228">
        <f>+'[3]Diff Actual VS EST 2018'!E62</f>
        <v>0</v>
      </c>
      <c r="I61" s="393"/>
      <c r="J61" s="42"/>
      <c r="K61" s="293">
        <v>750</v>
      </c>
      <c r="L61" s="294"/>
      <c r="M61" s="225"/>
      <c r="N61" s="293"/>
      <c r="O61" s="294"/>
      <c r="P61" s="225"/>
      <c r="Q61" s="293">
        <f t="shared" si="4"/>
        <v>750</v>
      </c>
      <c r="R61" s="294"/>
      <c r="S61" s="35">
        <f t="shared" si="1"/>
        <v>61</v>
      </c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</row>
    <row r="62" spans="1:131" s="70" customFormat="1" ht="12">
      <c r="A62" s="35">
        <f t="shared" si="0"/>
        <v>62</v>
      </c>
      <c r="B62" s="93"/>
      <c r="C62" s="249" t="s">
        <v>101</v>
      </c>
      <c r="D62" s="153"/>
      <c r="E62" s="186"/>
      <c r="F62" s="187"/>
      <c r="G62" s="153"/>
      <c r="H62" s="228"/>
      <c r="I62" s="393"/>
      <c r="J62" s="42"/>
      <c r="K62" s="480">
        <v>6000</v>
      </c>
      <c r="L62" s="294"/>
      <c r="M62" s="225"/>
      <c r="N62" s="293"/>
      <c r="O62" s="294"/>
      <c r="P62" s="225"/>
      <c r="Q62" s="293">
        <f t="shared" si="4"/>
        <v>6000</v>
      </c>
      <c r="R62" s="294"/>
      <c r="S62" s="35">
        <f t="shared" si="1"/>
        <v>62</v>
      </c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</row>
    <row r="63" spans="1:131" s="70" customFormat="1" ht="12">
      <c r="A63" s="35">
        <f t="shared" si="0"/>
        <v>63</v>
      </c>
      <c r="B63" s="190" t="s">
        <v>66</v>
      </c>
      <c r="C63" s="221"/>
      <c r="D63" s="164"/>
      <c r="E63" s="186"/>
      <c r="F63" s="188">
        <f>SUM(E64:E69)</f>
        <v>202552</v>
      </c>
      <c r="G63" s="153"/>
      <c r="H63" s="228"/>
      <c r="I63" s="296">
        <f>SUM(H64:H70)</f>
        <v>231308</v>
      </c>
      <c r="J63" s="42"/>
      <c r="K63" s="293"/>
      <c r="L63" s="296">
        <f>SUM(K64:K70)</f>
        <v>211813</v>
      </c>
      <c r="M63" s="225"/>
      <c r="N63" s="293"/>
      <c r="O63" s="296">
        <f>SUM(N64:N70)</f>
        <v>-13000</v>
      </c>
      <c r="P63" s="225"/>
      <c r="Q63" s="293"/>
      <c r="R63" s="296">
        <f>SUM(Q64:Q70)</f>
        <v>198813</v>
      </c>
      <c r="S63" s="35">
        <f t="shared" si="1"/>
        <v>63</v>
      </c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</row>
    <row r="64" spans="1:131" s="70" customFormat="1" ht="12">
      <c r="A64" s="35">
        <f t="shared" si="0"/>
        <v>64</v>
      </c>
      <c r="B64" s="93"/>
      <c r="C64" s="221" t="s">
        <v>67</v>
      </c>
      <c r="D64" s="164"/>
      <c r="E64" s="202">
        <v>63801</v>
      </c>
      <c r="F64" s="187"/>
      <c r="G64" s="153"/>
      <c r="H64" s="228">
        <f>+'[3]Diff Actual VS EST 2018'!E65</f>
        <v>65077</v>
      </c>
      <c r="I64" s="393"/>
      <c r="J64" s="42"/>
      <c r="K64" s="318">
        <v>66378</v>
      </c>
      <c r="L64" s="294"/>
      <c r="M64" s="225"/>
      <c r="N64" s="318"/>
      <c r="O64" s="294"/>
      <c r="P64" s="225"/>
      <c r="Q64" s="318">
        <f t="shared" ref="Q64:Q69" si="5">+K64+N64</f>
        <v>66378</v>
      </c>
      <c r="R64" s="294"/>
      <c r="S64" s="35">
        <f t="shared" si="1"/>
        <v>64</v>
      </c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</row>
    <row r="65" spans="1:131" s="70" customFormat="1" ht="12">
      <c r="A65" s="35">
        <f t="shared" si="0"/>
        <v>65</v>
      </c>
      <c r="B65" s="93"/>
      <c r="C65" s="221" t="s">
        <v>105</v>
      </c>
      <c r="D65" s="164"/>
      <c r="E65" s="202">
        <v>53614</v>
      </c>
      <c r="F65" s="187"/>
      <c r="G65" s="153"/>
      <c r="H65" s="228">
        <f>+'[3]Diff Actual VS EST 2018'!E66</f>
        <v>54686</v>
      </c>
      <c r="I65" s="393"/>
      <c r="J65" s="42"/>
      <c r="K65" s="318">
        <v>55780</v>
      </c>
      <c r="L65" s="294"/>
      <c r="M65" s="225"/>
      <c r="N65" s="482">
        <v>-13000</v>
      </c>
      <c r="O65" s="294"/>
      <c r="P65" s="225"/>
      <c r="Q65" s="318">
        <f t="shared" si="5"/>
        <v>42780</v>
      </c>
      <c r="R65" s="294"/>
      <c r="S65" s="35">
        <f t="shared" si="1"/>
        <v>65</v>
      </c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</row>
    <row r="66" spans="1:131" s="70" customFormat="1" ht="12">
      <c r="A66" s="35">
        <f t="shared" si="0"/>
        <v>66</v>
      </c>
      <c r="B66" s="93"/>
      <c r="C66" s="221" t="s">
        <v>69</v>
      </c>
      <c r="D66" s="164"/>
      <c r="E66" s="202">
        <v>59837</v>
      </c>
      <c r="F66" s="187"/>
      <c r="G66" s="164"/>
      <c r="H66" s="228">
        <f>+'[3]Diff Actual VS EST 2018'!E67</f>
        <v>61034</v>
      </c>
      <c r="I66" s="393"/>
      <c r="J66" s="300"/>
      <c r="K66" s="318">
        <v>62255</v>
      </c>
      <c r="L66" s="294"/>
      <c r="M66" s="225"/>
      <c r="N66" s="318"/>
      <c r="O66" s="294"/>
      <c r="P66" s="225"/>
      <c r="Q66" s="318">
        <f t="shared" si="5"/>
        <v>62255</v>
      </c>
      <c r="R66" s="294"/>
      <c r="S66" s="35">
        <f t="shared" si="1"/>
        <v>66</v>
      </c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</row>
    <row r="67" spans="1:131" s="201" customFormat="1" ht="12">
      <c r="A67" s="35">
        <f t="shared" si="0"/>
        <v>67</v>
      </c>
      <c r="B67" s="190"/>
      <c r="C67" s="221" t="s">
        <v>70</v>
      </c>
      <c r="D67" s="164"/>
      <c r="E67" s="202">
        <v>7800</v>
      </c>
      <c r="F67" s="187"/>
      <c r="G67" s="164"/>
      <c r="H67" s="228">
        <f>+'[3]Diff Actual VS EST 2018'!E68</f>
        <v>6121</v>
      </c>
      <c r="I67" s="393"/>
      <c r="J67" s="300"/>
      <c r="K67" s="318">
        <v>8500</v>
      </c>
      <c r="L67" s="294"/>
      <c r="M67" s="225"/>
      <c r="N67" s="318"/>
      <c r="O67" s="294"/>
      <c r="P67" s="225"/>
      <c r="Q67" s="318">
        <f t="shared" si="5"/>
        <v>8500</v>
      </c>
      <c r="R67" s="294"/>
      <c r="S67" s="35">
        <f t="shared" si="1"/>
        <v>67</v>
      </c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</row>
    <row r="68" spans="1:131" s="70" customFormat="1" ht="12">
      <c r="A68" s="35">
        <f t="shared" ref="A68:A85" si="6">+A67+1</f>
        <v>68</v>
      </c>
      <c r="B68" s="93"/>
      <c r="C68" s="88" t="s">
        <v>71</v>
      </c>
      <c r="D68" s="153"/>
      <c r="E68" s="202">
        <v>14500</v>
      </c>
      <c r="F68" s="187"/>
      <c r="G68" s="164"/>
      <c r="H68" s="228">
        <f>+'[3]Diff Actual VS EST 2018'!E69</f>
        <v>16498</v>
      </c>
      <c r="I68" s="393"/>
      <c r="J68" s="300"/>
      <c r="K68" s="318">
        <v>15400</v>
      </c>
      <c r="L68" s="294"/>
      <c r="M68" s="225"/>
      <c r="N68" s="318"/>
      <c r="O68" s="294"/>
      <c r="P68" s="225"/>
      <c r="Q68" s="318">
        <f t="shared" si="5"/>
        <v>15400</v>
      </c>
      <c r="R68" s="294"/>
      <c r="S68" s="35">
        <f t="shared" ref="S68:S85" si="7">+S67+1</f>
        <v>68</v>
      </c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</row>
    <row r="69" spans="1:131" s="70" customFormat="1" ht="12">
      <c r="A69" s="35">
        <f t="shared" si="6"/>
        <v>69</v>
      </c>
      <c r="B69" s="89"/>
      <c r="C69" s="88" t="s">
        <v>72</v>
      </c>
      <c r="D69" s="153"/>
      <c r="E69" s="202">
        <v>3000</v>
      </c>
      <c r="F69" s="187"/>
      <c r="G69" s="153"/>
      <c r="H69" s="228">
        <f>+'[3]Diff Actual VS EST 2018'!E70</f>
        <v>2892</v>
      </c>
      <c r="I69" s="393"/>
      <c r="J69" s="42"/>
      <c r="K69" s="318">
        <v>3500</v>
      </c>
      <c r="L69" s="294"/>
      <c r="M69" s="225"/>
      <c r="N69" s="318"/>
      <c r="O69" s="294"/>
      <c r="P69" s="225"/>
      <c r="Q69" s="318">
        <f t="shared" si="5"/>
        <v>3500</v>
      </c>
      <c r="R69" s="294"/>
      <c r="S69" s="35">
        <f t="shared" si="7"/>
        <v>69</v>
      </c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</row>
    <row r="70" spans="1:131" s="70" customFormat="1" ht="12">
      <c r="A70" s="35">
        <f t="shared" si="6"/>
        <v>70</v>
      </c>
      <c r="B70" s="89"/>
      <c r="C70" s="88" t="s">
        <v>119</v>
      </c>
      <c r="D70" s="153"/>
      <c r="E70" s="186"/>
      <c r="F70" s="187"/>
      <c r="G70" s="153"/>
      <c r="H70" s="228">
        <f>+'[3]Diff Actual VS EST 2018'!E71</f>
        <v>25000</v>
      </c>
      <c r="I70" s="393"/>
      <c r="J70" s="42"/>
      <c r="K70" s="293"/>
      <c r="L70" s="294"/>
      <c r="M70" s="225"/>
      <c r="N70" s="293"/>
      <c r="O70" s="294"/>
      <c r="P70" s="225"/>
      <c r="Q70" s="293"/>
      <c r="R70" s="294"/>
      <c r="S70" s="35">
        <f t="shared" si="7"/>
        <v>70</v>
      </c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</row>
    <row r="71" spans="1:131" s="70" customFormat="1" ht="12">
      <c r="A71" s="35">
        <f t="shared" si="6"/>
        <v>71</v>
      </c>
      <c r="B71" s="93"/>
      <c r="C71" s="88"/>
      <c r="D71" s="153"/>
      <c r="E71" s="186"/>
      <c r="F71" s="188">
        <f>+E72</f>
        <v>0</v>
      </c>
      <c r="G71" s="153"/>
      <c r="H71" s="228"/>
      <c r="I71" s="393"/>
      <c r="J71" s="42"/>
      <c r="K71" s="293"/>
      <c r="L71" s="294"/>
      <c r="M71" s="225"/>
      <c r="N71" s="293"/>
      <c r="O71" s="294"/>
      <c r="P71" s="225"/>
      <c r="Q71" s="293"/>
      <c r="R71" s="294"/>
      <c r="S71" s="35">
        <f t="shared" si="7"/>
        <v>71</v>
      </c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</row>
    <row r="72" spans="1:131" s="70" customFormat="1" ht="13" thickBot="1">
      <c r="A72" s="35">
        <f t="shared" si="6"/>
        <v>72</v>
      </c>
      <c r="B72" s="203"/>
      <c r="C72" s="88"/>
      <c r="D72" s="153"/>
      <c r="E72" s="186"/>
      <c r="F72" s="191"/>
      <c r="G72" s="153"/>
      <c r="H72" s="228"/>
      <c r="I72" s="393"/>
      <c r="J72" s="42"/>
      <c r="K72" s="293"/>
      <c r="L72" s="303"/>
      <c r="M72" s="225"/>
      <c r="N72" s="293"/>
      <c r="O72" s="303"/>
      <c r="P72" s="225"/>
      <c r="Q72" s="293"/>
      <c r="R72" s="303"/>
      <c r="S72" s="35">
        <f t="shared" si="7"/>
        <v>72</v>
      </c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</row>
    <row r="73" spans="1:131" s="70" customFormat="1" ht="13" thickBot="1">
      <c r="A73" s="35">
        <f t="shared" si="6"/>
        <v>73</v>
      </c>
      <c r="B73" s="320" t="s">
        <v>102</v>
      </c>
      <c r="C73" s="321"/>
      <c r="D73" s="164"/>
      <c r="E73" s="204"/>
      <c r="F73" s="197">
        <f>SUM(F30,F45,F50,F63,F71)</f>
        <v>508302</v>
      </c>
      <c r="G73" s="164"/>
      <c r="H73" s="408"/>
      <c r="I73" s="197">
        <f>SUM(I30,I45,I50,I63,I71)</f>
        <v>470566</v>
      </c>
      <c r="J73" s="300"/>
      <c r="K73" s="322"/>
      <c r="L73" s="197">
        <f>SUM(L30,L45,L50,L63,L71)</f>
        <v>442263</v>
      </c>
      <c r="M73" s="225"/>
      <c r="N73" s="322"/>
      <c r="O73" s="197">
        <f>SUM(O30,O45,O50,O63,O71)</f>
        <v>-5000</v>
      </c>
      <c r="P73" s="225"/>
      <c r="Q73" s="322"/>
      <c r="R73" s="197">
        <f>SUM(R30,R45,R50,R63,R71)</f>
        <v>437263</v>
      </c>
      <c r="S73" s="35">
        <f t="shared" si="7"/>
        <v>73</v>
      </c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</row>
    <row r="74" spans="1:131" s="70" customFormat="1" ht="12">
      <c r="A74" s="35">
        <f t="shared" si="6"/>
        <v>74</v>
      </c>
      <c r="B74" s="323"/>
      <c r="C74" s="252"/>
      <c r="D74" s="164"/>
      <c r="E74" s="427"/>
      <c r="F74" s="428"/>
      <c r="G74" s="164"/>
      <c r="H74" s="427"/>
      <c r="I74" s="428"/>
      <c r="J74" s="300"/>
      <c r="K74" s="326"/>
      <c r="L74" s="303"/>
      <c r="M74" s="225"/>
      <c r="N74" s="326"/>
      <c r="O74" s="303"/>
      <c r="P74" s="225"/>
      <c r="Q74" s="326"/>
      <c r="R74" s="303"/>
      <c r="S74" s="35">
        <f t="shared" si="7"/>
        <v>74</v>
      </c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</row>
    <row r="75" spans="1:131" s="70" customFormat="1" ht="12">
      <c r="A75" s="35">
        <f t="shared" si="6"/>
        <v>75</v>
      </c>
      <c r="B75" s="327" t="s">
        <v>145</v>
      </c>
      <c r="C75" s="206"/>
      <c r="D75" s="207"/>
      <c r="E75" s="430"/>
      <c r="F75" s="431">
        <f>+F28-F73</f>
        <v>-508302</v>
      </c>
      <c r="G75" s="207"/>
      <c r="H75" s="483"/>
      <c r="I75" s="329">
        <f>+I27-I73</f>
        <v>-24780</v>
      </c>
      <c r="J75" s="245"/>
      <c r="K75" s="332"/>
      <c r="L75" s="329">
        <f>+L27-L73</f>
        <v>-22763</v>
      </c>
      <c r="M75" s="225"/>
      <c r="N75" s="332"/>
      <c r="O75" s="329">
        <f>+O27-O73</f>
        <v>33000</v>
      </c>
      <c r="P75" s="225"/>
      <c r="Q75" s="332"/>
      <c r="R75" s="329">
        <f>+R27-R73</f>
        <v>10237</v>
      </c>
      <c r="S75" s="35">
        <f t="shared" si="7"/>
        <v>75</v>
      </c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</row>
    <row r="76" spans="1:131" s="70" customFormat="1" ht="12">
      <c r="A76" s="35">
        <f t="shared" si="6"/>
        <v>76</v>
      </c>
      <c r="B76" s="484" t="s">
        <v>135</v>
      </c>
      <c r="C76" s="437"/>
      <c r="D76" s="438"/>
      <c r="E76" s="430"/>
      <c r="F76" s="439">
        <v>3333</v>
      </c>
      <c r="G76" s="164"/>
      <c r="H76" s="483"/>
      <c r="I76" s="485">
        <v>3333</v>
      </c>
      <c r="J76" s="300"/>
      <c r="K76" s="332"/>
      <c r="L76" s="336"/>
      <c r="M76" s="225"/>
      <c r="N76" s="332"/>
      <c r="O76" s="336"/>
      <c r="P76" s="225"/>
      <c r="Q76" s="332"/>
      <c r="R76" s="336"/>
      <c r="S76" s="35">
        <f t="shared" si="7"/>
        <v>76</v>
      </c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  <c r="DJ76" s="179"/>
      <c r="DK76" s="179"/>
      <c r="DL76" s="179"/>
      <c r="DM76" s="179"/>
      <c r="DN76" s="179"/>
      <c r="DO76" s="179"/>
      <c r="DP76" s="179"/>
      <c r="DQ76" s="179"/>
      <c r="DR76" s="179"/>
      <c r="DS76" s="179"/>
      <c r="DT76" s="179"/>
      <c r="DU76" s="179"/>
      <c r="DV76" s="179"/>
      <c r="DW76" s="179"/>
      <c r="DX76" s="179"/>
      <c r="DY76" s="179"/>
      <c r="DZ76" s="179"/>
      <c r="EA76" s="179"/>
    </row>
    <row r="77" spans="1:131" s="70" customFormat="1" ht="12">
      <c r="A77" s="35">
        <f t="shared" si="6"/>
        <v>77</v>
      </c>
      <c r="B77" s="327" t="s">
        <v>136</v>
      </c>
      <c r="C77" s="206"/>
      <c r="D77" s="207"/>
      <c r="E77" s="430"/>
      <c r="F77" s="443">
        <f>+F75+F76</f>
        <v>-504969</v>
      </c>
      <c r="G77" s="164"/>
      <c r="H77" s="483"/>
      <c r="I77" s="486">
        <f>+I75+I76</f>
        <v>-21447</v>
      </c>
      <c r="J77" s="300"/>
      <c r="K77" s="332"/>
      <c r="L77" s="486">
        <f>+L75+L76</f>
        <v>-22763</v>
      </c>
      <c r="M77" s="225"/>
      <c r="N77" s="332"/>
      <c r="O77" s="486">
        <f>+O75+O76</f>
        <v>33000</v>
      </c>
      <c r="P77" s="225"/>
      <c r="Q77" s="332"/>
      <c r="R77" s="486">
        <f>+R75+R76</f>
        <v>10237</v>
      </c>
      <c r="S77" s="35">
        <f t="shared" si="7"/>
        <v>77</v>
      </c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  <c r="DQ77" s="179"/>
      <c r="DR77" s="179"/>
      <c r="DS77" s="179"/>
      <c r="DT77" s="179"/>
      <c r="DU77" s="179"/>
      <c r="DV77" s="179"/>
      <c r="DW77" s="179"/>
      <c r="DX77" s="179"/>
      <c r="DY77" s="179"/>
      <c r="DZ77" s="179"/>
      <c r="EA77" s="179"/>
    </row>
    <row r="78" spans="1:131" s="70" customFormat="1" ht="12">
      <c r="A78" s="35">
        <f t="shared" si="6"/>
        <v>78</v>
      </c>
      <c r="B78" s="333"/>
      <c r="C78" s="252"/>
      <c r="D78" s="164"/>
      <c r="E78" s="430"/>
      <c r="F78" s="445"/>
      <c r="G78" s="164"/>
      <c r="H78" s="483"/>
      <c r="I78" s="487"/>
      <c r="J78" s="300"/>
      <c r="K78" s="332"/>
      <c r="L78" s="336"/>
      <c r="M78" s="225"/>
      <c r="N78" s="332"/>
      <c r="O78" s="336"/>
      <c r="P78" s="225"/>
      <c r="Q78" s="332"/>
      <c r="R78" s="336"/>
      <c r="S78" s="35">
        <f t="shared" si="7"/>
        <v>78</v>
      </c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  <c r="DY78" s="179"/>
      <c r="DZ78" s="179"/>
      <c r="EA78" s="179"/>
    </row>
    <row r="79" spans="1:131" s="70" customFormat="1" ht="13" thickBot="1">
      <c r="A79" s="35">
        <f t="shared" si="6"/>
        <v>79</v>
      </c>
      <c r="B79" s="333" t="s">
        <v>124</v>
      </c>
      <c r="C79" s="252"/>
      <c r="D79" s="164"/>
      <c r="E79" s="332"/>
      <c r="F79" s="447">
        <v>-34135</v>
      </c>
      <c r="G79" s="164"/>
      <c r="H79" s="332"/>
      <c r="I79" s="447">
        <v>-34135</v>
      </c>
      <c r="J79" s="300"/>
      <c r="K79" s="332"/>
      <c r="L79" s="340">
        <v>17000</v>
      </c>
      <c r="M79" s="225"/>
      <c r="N79" s="332"/>
      <c r="O79" s="340"/>
      <c r="P79" s="225"/>
      <c r="Q79" s="332"/>
      <c r="R79" s="340">
        <v>17000</v>
      </c>
      <c r="S79" s="35">
        <f t="shared" si="7"/>
        <v>79</v>
      </c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179"/>
      <c r="DX79" s="179"/>
      <c r="DY79" s="179"/>
      <c r="DZ79" s="179"/>
      <c r="EA79" s="179"/>
    </row>
    <row r="80" spans="1:131" s="70" customFormat="1" ht="13" thickBot="1">
      <c r="A80" s="35">
        <f t="shared" si="6"/>
        <v>80</v>
      </c>
      <c r="B80" s="320" t="s">
        <v>137</v>
      </c>
      <c r="C80" s="341"/>
      <c r="D80" s="207"/>
      <c r="E80" s="450"/>
      <c r="F80" s="345">
        <f>SUM(F77:F79)</f>
        <v>-539104</v>
      </c>
      <c r="G80" s="207"/>
      <c r="H80" s="332"/>
      <c r="I80" s="488">
        <f>SUM(I77:I79)</f>
        <v>-55582</v>
      </c>
      <c r="J80" s="245"/>
      <c r="K80" s="346"/>
      <c r="L80" s="488">
        <f>SUM(L77:L79)</f>
        <v>-5763</v>
      </c>
      <c r="M80" s="225"/>
      <c r="N80" s="346"/>
      <c r="O80" s="343">
        <f>SUM(O77:O79)</f>
        <v>33000</v>
      </c>
      <c r="P80" s="225"/>
      <c r="Q80" s="346"/>
      <c r="R80" s="343">
        <f>SUM(R77:R79)</f>
        <v>27237</v>
      </c>
      <c r="S80" s="35">
        <f t="shared" si="7"/>
        <v>80</v>
      </c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179"/>
      <c r="DX80" s="179"/>
      <c r="DY80" s="179"/>
      <c r="DZ80" s="179"/>
      <c r="EA80" s="179"/>
    </row>
    <row r="81" spans="1:131" s="70" customFormat="1" ht="12">
      <c r="A81" s="35">
        <f t="shared" si="6"/>
        <v>81</v>
      </c>
      <c r="B81" s="208"/>
      <c r="C81" s="257"/>
      <c r="D81" s="207"/>
      <c r="E81" s="212"/>
      <c r="F81" s="213"/>
      <c r="G81" s="207"/>
      <c r="H81" s="332"/>
      <c r="I81" s="349"/>
      <c r="J81" s="245"/>
      <c r="K81" s="255"/>
      <c r="L81" s="349"/>
      <c r="M81" s="225"/>
      <c r="N81" s="255"/>
      <c r="O81" s="349"/>
      <c r="P81" s="225"/>
      <c r="Q81" s="255"/>
      <c r="R81" s="349"/>
      <c r="S81" s="35">
        <f t="shared" si="7"/>
        <v>81</v>
      </c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</row>
    <row r="82" spans="1:131" s="70" customFormat="1" ht="12">
      <c r="A82" s="35">
        <f t="shared" si="6"/>
        <v>82</v>
      </c>
      <c r="B82" s="350" t="s">
        <v>80</v>
      </c>
      <c r="C82" s="258"/>
      <c r="D82" s="164"/>
      <c r="E82" s="210"/>
      <c r="F82" s="223">
        <v>35000</v>
      </c>
      <c r="G82" s="207"/>
      <c r="H82" s="332"/>
      <c r="I82" s="489">
        <f>+'[5]EST 2018'!N87</f>
        <v>25000</v>
      </c>
      <c r="J82" s="245"/>
      <c r="K82" s="346"/>
      <c r="L82" s="489">
        <v>30000</v>
      </c>
      <c r="M82" s="225"/>
      <c r="N82" s="346"/>
      <c r="O82" s="490">
        <v>-30000</v>
      </c>
      <c r="P82" s="225"/>
      <c r="Q82" s="346"/>
      <c r="R82" s="353">
        <f>+L82+O82</f>
        <v>0</v>
      </c>
      <c r="S82" s="35">
        <f t="shared" si="7"/>
        <v>82</v>
      </c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  <c r="DY82" s="179"/>
      <c r="DZ82" s="179"/>
      <c r="EA82" s="179"/>
    </row>
    <row r="83" spans="1:131" s="70" customFormat="1" ht="13" thickBot="1">
      <c r="A83" s="35">
        <f t="shared" si="6"/>
        <v>83</v>
      </c>
      <c r="B83" s="208" t="s">
        <v>91</v>
      </c>
      <c r="C83" s="206" t="s">
        <v>138</v>
      </c>
      <c r="D83" s="207"/>
      <c r="E83" s="214"/>
      <c r="F83" s="491">
        <f>+F75+F82</f>
        <v>-473302</v>
      </c>
      <c r="G83" s="245"/>
      <c r="H83" s="255"/>
      <c r="I83" s="251">
        <f>+I77+I82</f>
        <v>3553</v>
      </c>
      <c r="J83" s="245"/>
      <c r="K83" s="354"/>
      <c r="L83" s="251">
        <f>+L77+L82</f>
        <v>7237</v>
      </c>
      <c r="M83" s="225"/>
      <c r="N83" s="354"/>
      <c r="O83" s="251">
        <f>+O75+O82</f>
        <v>3000</v>
      </c>
      <c r="P83" s="225"/>
      <c r="Q83" s="354"/>
      <c r="R83" s="251">
        <f>+R75+R82</f>
        <v>10237</v>
      </c>
      <c r="S83" s="35">
        <f t="shared" si="7"/>
        <v>83</v>
      </c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79"/>
      <c r="DX83" s="179"/>
      <c r="DY83" s="179"/>
      <c r="DZ83" s="179"/>
      <c r="EA83" s="179"/>
    </row>
    <row r="84" spans="1:131" s="70" customFormat="1" ht="13" thickTop="1">
      <c r="A84" s="35">
        <f t="shared" si="6"/>
        <v>84</v>
      </c>
      <c r="B84" s="259"/>
      <c r="C84" s="256"/>
      <c r="D84" s="166"/>
      <c r="E84" s="214"/>
      <c r="F84" s="215"/>
      <c r="G84" s="166"/>
      <c r="H84" s="475"/>
      <c r="I84" s="476"/>
      <c r="J84" s="42"/>
      <c r="K84" s="354"/>
      <c r="L84" s="357"/>
      <c r="M84" s="225"/>
      <c r="N84" s="354"/>
      <c r="O84" s="357"/>
      <c r="P84" s="225"/>
      <c r="Q84" s="354"/>
      <c r="R84" s="357"/>
      <c r="S84" s="35">
        <f t="shared" si="7"/>
        <v>84</v>
      </c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179"/>
      <c r="DX84" s="179"/>
      <c r="DY84" s="179"/>
      <c r="DZ84" s="179"/>
      <c r="EA84" s="179"/>
    </row>
    <row r="85" spans="1:131" s="70" customFormat="1" ht="13" thickBot="1">
      <c r="A85" s="35">
        <f t="shared" si="6"/>
        <v>85</v>
      </c>
      <c r="B85" s="358" t="s">
        <v>81</v>
      </c>
      <c r="C85" s="260" t="s">
        <v>113</v>
      </c>
      <c r="D85" s="166"/>
      <c r="E85" s="216"/>
      <c r="F85" s="217"/>
      <c r="G85" s="166"/>
      <c r="H85" s="492"/>
      <c r="I85" s="493"/>
      <c r="J85" s="42"/>
      <c r="K85" s="364"/>
      <c r="L85" s="365"/>
      <c r="M85" s="225"/>
      <c r="N85" s="364"/>
      <c r="O85" s="365"/>
      <c r="P85" s="225"/>
      <c r="Q85" s="364"/>
      <c r="R85" s="365"/>
      <c r="S85" s="35">
        <f t="shared" si="7"/>
        <v>85</v>
      </c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K85" s="179"/>
      <c r="DL85" s="179"/>
      <c r="DM85" s="179"/>
      <c r="DN85" s="179"/>
      <c r="DO85" s="179"/>
      <c r="DP85" s="179"/>
      <c r="DQ85" s="179"/>
      <c r="DR85" s="179"/>
      <c r="DS85" s="179"/>
      <c r="DT85" s="179"/>
      <c r="DU85" s="179"/>
      <c r="DV85" s="179"/>
      <c r="DW85" s="179"/>
      <c r="DX85" s="179"/>
      <c r="DY85" s="179"/>
      <c r="DZ85" s="179"/>
      <c r="EA85" s="179"/>
    </row>
    <row r="86" spans="1:131" s="70" customFormat="1" ht="12">
      <c r="A86" s="35"/>
      <c r="B86" s="69"/>
      <c r="C86" s="166"/>
      <c r="D86" s="166"/>
      <c r="E86" s="218"/>
      <c r="F86" s="218"/>
      <c r="G86" s="166"/>
      <c r="H86" s="42"/>
      <c r="I86" s="42"/>
      <c r="J86" s="42"/>
      <c r="K86" s="64"/>
      <c r="L86" s="366"/>
      <c r="M86" s="225"/>
      <c r="N86" s="64"/>
      <c r="O86" s="366"/>
      <c r="P86" s="225"/>
      <c r="Q86" s="64"/>
      <c r="R86" s="366"/>
      <c r="S86" s="35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79"/>
      <c r="DJ86" s="179"/>
      <c r="DK86" s="179"/>
      <c r="DL86" s="179"/>
      <c r="DM86" s="179"/>
      <c r="DN86" s="179"/>
      <c r="DO86" s="179"/>
      <c r="DP86" s="179"/>
      <c r="DQ86" s="179"/>
      <c r="DR86" s="179"/>
      <c r="DS86" s="179"/>
      <c r="DT86" s="179"/>
      <c r="DU86" s="179"/>
      <c r="DV86" s="179"/>
      <c r="DW86" s="179"/>
      <c r="DX86" s="179"/>
      <c r="DY86" s="179"/>
      <c r="DZ86" s="179"/>
      <c r="EA86" s="179"/>
    </row>
    <row r="87" spans="1:131" s="70" customFormat="1" ht="12">
      <c r="A87" s="35"/>
      <c r="B87" s="69"/>
      <c r="C87" s="166"/>
      <c r="D87" s="166"/>
      <c r="E87" s="219"/>
      <c r="F87" s="219"/>
      <c r="G87" s="166"/>
      <c r="H87" s="42"/>
      <c r="I87" s="42"/>
      <c r="J87" s="42"/>
      <c r="K87" s="367"/>
      <c r="L87" s="162"/>
      <c r="M87" s="225"/>
      <c r="N87" s="367"/>
      <c r="O87" s="162"/>
      <c r="P87" s="225"/>
      <c r="Q87" s="367"/>
      <c r="R87" s="162"/>
      <c r="S87" s="35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9"/>
      <c r="CZ87" s="179"/>
      <c r="DA87" s="179"/>
      <c r="DB87" s="179"/>
      <c r="DC87" s="179"/>
      <c r="DD87" s="179"/>
      <c r="DE87" s="179"/>
      <c r="DF87" s="179"/>
      <c r="DG87" s="179"/>
      <c r="DH87" s="179"/>
      <c r="DI87" s="179"/>
      <c r="DJ87" s="179"/>
      <c r="DK87" s="179"/>
      <c r="DL87" s="179"/>
      <c r="DM87" s="179"/>
      <c r="DN87" s="179"/>
      <c r="DO87" s="179"/>
      <c r="DP87" s="179"/>
      <c r="DQ87" s="179"/>
      <c r="DR87" s="179"/>
      <c r="DS87" s="179"/>
      <c r="DT87" s="179"/>
      <c r="DU87" s="179"/>
      <c r="DV87" s="179"/>
      <c r="DW87" s="179"/>
      <c r="DX87" s="179"/>
      <c r="DY87" s="179"/>
      <c r="DZ87" s="179"/>
      <c r="EA87" s="179"/>
    </row>
    <row r="88" spans="1:131">
      <c r="B88" s="69"/>
      <c r="C88" s="166"/>
      <c r="D88" s="166"/>
      <c r="G88" s="166"/>
      <c r="N88" s="368"/>
      <c r="O88" s="162"/>
    </row>
    <row r="89" spans="1:131">
      <c r="B89" s="69"/>
      <c r="C89" s="166"/>
      <c r="D89" s="166"/>
      <c r="G89" s="166"/>
      <c r="N89" s="368"/>
      <c r="O89" s="162"/>
    </row>
    <row r="90" spans="1:131">
      <c r="B90" s="69"/>
      <c r="C90" s="166"/>
      <c r="D90" s="166"/>
      <c r="G90" s="166"/>
      <c r="N90" s="368"/>
      <c r="O90" s="162"/>
    </row>
    <row r="91" spans="1:131">
      <c r="B91" s="69"/>
      <c r="C91" s="166"/>
      <c r="D91" s="166"/>
      <c r="G91" s="166"/>
      <c r="N91" s="368"/>
      <c r="O91" s="162"/>
    </row>
    <row r="92" spans="1:131">
      <c r="B92" s="69"/>
      <c r="C92" s="166"/>
      <c r="D92" s="166"/>
      <c r="G92" s="166"/>
      <c r="N92" s="368"/>
      <c r="O92" s="162"/>
    </row>
    <row r="93" spans="1:131">
      <c r="B93" s="69"/>
      <c r="C93" s="166"/>
      <c r="D93" s="166"/>
      <c r="G93" s="166"/>
      <c r="N93" s="368"/>
      <c r="O93" s="162"/>
    </row>
    <row r="94" spans="1:131">
      <c r="B94" s="69"/>
      <c r="C94" s="166"/>
      <c r="D94" s="166"/>
      <c r="G94" s="166"/>
      <c r="N94" s="368"/>
      <c r="O94" s="162"/>
    </row>
    <row r="95" spans="1:131">
      <c r="B95" s="69"/>
      <c r="C95" s="166"/>
      <c r="D95" s="166"/>
      <c r="G95" s="166"/>
      <c r="N95" s="368"/>
      <c r="O95" s="162"/>
    </row>
    <row r="96" spans="1:131">
      <c r="B96" s="69"/>
      <c r="C96" s="166"/>
      <c r="D96" s="166"/>
      <c r="G96" s="166"/>
      <c r="N96" s="368"/>
      <c r="O96" s="162"/>
    </row>
    <row r="97" spans="1:131">
      <c r="B97" s="69"/>
      <c r="C97" s="166"/>
      <c r="D97" s="166"/>
      <c r="G97" s="166"/>
      <c r="N97" s="368"/>
      <c r="O97" s="162"/>
    </row>
    <row r="98" spans="1:131">
      <c r="B98" s="69"/>
      <c r="C98" s="166"/>
      <c r="D98" s="166"/>
      <c r="G98" s="166"/>
      <c r="N98" s="368"/>
      <c r="O98" s="162"/>
    </row>
    <row r="99" spans="1:131">
      <c r="B99" s="69"/>
      <c r="C99" s="166"/>
      <c r="D99" s="166"/>
      <c r="G99" s="166"/>
      <c r="N99" s="368"/>
      <c r="O99" s="162"/>
    </row>
    <row r="100" spans="1:131">
      <c r="B100" s="69"/>
      <c r="C100" s="166"/>
      <c r="D100" s="166"/>
      <c r="G100" s="166"/>
      <c r="N100" s="368"/>
      <c r="O100" s="162"/>
    </row>
    <row r="101" spans="1:131">
      <c r="B101" s="69"/>
      <c r="C101" s="166"/>
      <c r="D101" s="166"/>
      <c r="G101" s="166"/>
      <c r="N101" s="368"/>
      <c r="O101" s="162"/>
    </row>
    <row r="102" spans="1:131">
      <c r="B102" s="69"/>
      <c r="C102" s="166"/>
      <c r="D102" s="166"/>
      <c r="G102" s="166"/>
      <c r="N102" s="368"/>
      <c r="O102" s="162"/>
    </row>
    <row r="103" spans="1:131">
      <c r="A103"/>
      <c r="B103" s="69"/>
      <c r="C103" s="166"/>
      <c r="D103" s="166"/>
      <c r="G103" s="166"/>
      <c r="M103" s="494"/>
      <c r="N103" s="368"/>
      <c r="O103" s="162"/>
      <c r="P103" s="494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</row>
    <row r="104" spans="1:131">
      <c r="A104"/>
      <c r="B104" s="69"/>
      <c r="C104" s="166"/>
      <c r="D104" s="166"/>
      <c r="G104" s="166"/>
      <c r="M104" s="494"/>
      <c r="N104" s="368"/>
      <c r="O104" s="162"/>
      <c r="P104" s="49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</row>
    <row r="105" spans="1:131">
      <c r="A105"/>
      <c r="B105" s="69"/>
      <c r="C105" s="166"/>
      <c r="D105" s="166"/>
      <c r="G105" s="166"/>
      <c r="M105" s="494"/>
      <c r="N105" s="368"/>
      <c r="O105" s="162"/>
      <c r="P105" s="494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</row>
    <row r="106" spans="1:131">
      <c r="A106"/>
      <c r="B106" s="69"/>
      <c r="C106" s="166"/>
      <c r="D106" s="166"/>
      <c r="G106" s="166"/>
      <c r="M106" s="494"/>
      <c r="N106" s="368"/>
      <c r="O106" s="162"/>
      <c r="P106" s="494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</row>
    <row r="107" spans="1:131">
      <c r="A107"/>
      <c r="B107" s="69"/>
      <c r="C107" s="166"/>
      <c r="D107" s="166"/>
      <c r="G107" s="166"/>
      <c r="M107" s="494"/>
      <c r="N107" s="368"/>
      <c r="O107" s="162"/>
      <c r="P107" s="494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</row>
    <row r="108" spans="1:131">
      <c r="A108"/>
      <c r="B108" s="69"/>
      <c r="C108" s="166"/>
      <c r="D108" s="166"/>
      <c r="G108" s="166"/>
      <c r="M108" s="494"/>
      <c r="N108" s="368"/>
      <c r="O108" s="162"/>
      <c r="P108" s="494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</row>
    <row r="109" spans="1:131">
      <c r="A109"/>
      <c r="B109" s="69"/>
      <c r="C109" s="166"/>
      <c r="D109" s="166"/>
      <c r="G109" s="166"/>
      <c r="M109" s="494"/>
      <c r="N109" s="368"/>
      <c r="O109" s="162"/>
      <c r="P109" s="494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</row>
    <row r="110" spans="1:131">
      <c r="A110"/>
      <c r="B110" s="69"/>
      <c r="C110" s="166"/>
      <c r="D110" s="166"/>
      <c r="G110" s="166"/>
      <c r="M110" s="494"/>
      <c r="N110" s="368"/>
      <c r="O110" s="162"/>
      <c r="P110" s="494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</row>
    <row r="111" spans="1:131">
      <c r="A111"/>
      <c r="B111" s="69"/>
      <c r="C111" s="166"/>
      <c r="D111" s="166"/>
      <c r="G111" s="166"/>
      <c r="M111" s="494"/>
      <c r="N111" s="368"/>
      <c r="O111" s="162"/>
      <c r="P111" s="494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</row>
    <row r="112" spans="1:131">
      <c r="A112"/>
      <c r="B112" s="69"/>
      <c r="C112" s="166"/>
      <c r="D112" s="166"/>
      <c r="G112" s="166"/>
      <c r="M112" s="494"/>
      <c r="N112" s="368"/>
      <c r="O112" s="162"/>
      <c r="P112" s="494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</row>
    <row r="113" spans="1:131">
      <c r="A113"/>
      <c r="B113" s="69"/>
      <c r="C113" s="166"/>
      <c r="D113" s="166"/>
      <c r="G113" s="166"/>
      <c r="M113" s="494"/>
      <c r="N113" s="368"/>
      <c r="O113" s="162"/>
      <c r="P113" s="494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</row>
    <row r="114" spans="1:131">
      <c r="A114"/>
      <c r="B114" s="69"/>
      <c r="C114" s="166"/>
      <c r="D114" s="166"/>
      <c r="G114" s="166"/>
      <c r="M114" s="494"/>
      <c r="N114" s="368"/>
      <c r="O114" s="162"/>
      <c r="P114" s="49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</row>
    <row r="115" spans="1:131">
      <c r="A115"/>
      <c r="B115" s="69"/>
      <c r="C115" s="166"/>
      <c r="D115" s="166"/>
      <c r="G115" s="166"/>
      <c r="M115" s="494"/>
      <c r="N115" s="368"/>
      <c r="O115" s="162"/>
      <c r="P115" s="494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</row>
    <row r="116" spans="1:131">
      <c r="A116"/>
      <c r="B116" s="69"/>
      <c r="C116" s="166"/>
      <c r="D116" s="166"/>
      <c r="G116" s="166"/>
      <c r="M116" s="494"/>
      <c r="N116" s="368"/>
      <c r="O116" s="162"/>
      <c r="P116" s="494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</row>
    <row r="117" spans="1:131">
      <c r="A117"/>
      <c r="B117" s="69"/>
      <c r="C117" s="166"/>
      <c r="D117" s="166"/>
      <c r="G117" s="166"/>
      <c r="M117" s="494"/>
      <c r="N117" s="368"/>
      <c r="O117" s="162"/>
      <c r="P117" s="494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</row>
    <row r="118" spans="1:131">
      <c r="A118"/>
      <c r="B118" s="69"/>
      <c r="C118" s="166"/>
      <c r="D118" s="166"/>
      <c r="G118" s="166"/>
      <c r="M118" s="494"/>
      <c r="N118" s="368"/>
      <c r="O118" s="162"/>
      <c r="P118" s="494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</row>
    <row r="119" spans="1:131">
      <c r="A119"/>
      <c r="B119" s="69"/>
      <c r="C119" s="166"/>
      <c r="D119" s="166"/>
      <c r="G119" s="166"/>
      <c r="M119" s="494"/>
      <c r="N119" s="368"/>
      <c r="O119" s="162"/>
      <c r="P119" s="494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</row>
    <row r="120" spans="1:131">
      <c r="A120"/>
      <c r="B120" s="69"/>
      <c r="C120" s="166"/>
      <c r="D120" s="166"/>
      <c r="G120" s="166"/>
      <c r="M120" s="494"/>
      <c r="N120" s="368"/>
      <c r="O120" s="162"/>
      <c r="P120" s="494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</row>
    <row r="121" spans="1:131">
      <c r="A121"/>
      <c r="B121" s="69"/>
      <c r="C121" s="166"/>
      <c r="D121" s="166"/>
      <c r="G121" s="166"/>
      <c r="M121" s="494"/>
      <c r="N121" s="368"/>
      <c r="O121" s="162"/>
      <c r="P121" s="494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</row>
    <row r="122" spans="1:131">
      <c r="A122"/>
      <c r="B122" s="69"/>
      <c r="C122" s="166"/>
      <c r="D122" s="166"/>
      <c r="G122" s="166"/>
      <c r="M122" s="494"/>
      <c r="N122" s="368"/>
      <c r="O122" s="162"/>
      <c r="P122" s="494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</row>
    <row r="123" spans="1:131">
      <c r="A123"/>
      <c r="B123" s="69"/>
      <c r="C123" s="166"/>
      <c r="D123" s="166"/>
      <c r="G123" s="166"/>
      <c r="M123" s="494"/>
      <c r="N123" s="368"/>
      <c r="O123" s="162"/>
      <c r="P123" s="494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</row>
    <row r="124" spans="1:131">
      <c r="A124"/>
      <c r="B124" s="69"/>
      <c r="C124" s="166"/>
      <c r="D124" s="166"/>
      <c r="G124" s="166"/>
      <c r="M124" s="494"/>
      <c r="N124" s="494"/>
      <c r="O124" s="494"/>
      <c r="P124" s="49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</row>
    <row r="125" spans="1:131">
      <c r="A125"/>
      <c r="B125" s="69"/>
      <c r="C125" s="166"/>
      <c r="D125" s="166"/>
      <c r="G125" s="166"/>
      <c r="M125" s="494"/>
      <c r="N125" s="494"/>
      <c r="O125" s="494"/>
      <c r="P125" s="494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</row>
    <row r="126" spans="1:131">
      <c r="A126"/>
      <c r="B126" s="69"/>
      <c r="C126" s="166"/>
      <c r="D126" s="166"/>
      <c r="G126" s="166"/>
      <c r="M126" s="494"/>
      <c r="N126" s="494"/>
      <c r="O126" s="494"/>
      <c r="P126" s="494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</row>
    <row r="127" spans="1:131">
      <c r="A127"/>
      <c r="B127" s="69"/>
      <c r="C127" s="166"/>
      <c r="D127" s="166"/>
      <c r="G127" s="166"/>
      <c r="M127" s="494"/>
      <c r="N127" s="494"/>
      <c r="O127" s="494"/>
      <c r="P127" s="494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</row>
    <row r="128" spans="1:131">
      <c r="A128"/>
      <c r="B128" s="69"/>
      <c r="C128" s="166"/>
      <c r="D128" s="166"/>
      <c r="G128" s="166"/>
      <c r="M128" s="494"/>
      <c r="N128" s="494"/>
      <c r="O128" s="494"/>
      <c r="P128" s="494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</row>
    <row r="129" spans="1:131">
      <c r="A129"/>
      <c r="B129" s="69"/>
      <c r="C129" s="166"/>
      <c r="D129" s="166"/>
      <c r="G129" s="166"/>
      <c r="M129" s="494"/>
      <c r="N129" s="494"/>
      <c r="O129" s="494"/>
      <c r="P129" s="494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</row>
    <row r="130" spans="1:131">
      <c r="A130"/>
      <c r="B130" s="69"/>
      <c r="C130" s="166"/>
      <c r="D130" s="166"/>
      <c r="G130" s="166"/>
      <c r="M130" s="494"/>
      <c r="N130" s="494"/>
      <c r="O130" s="494"/>
      <c r="P130" s="494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sign events</vt:lpstr>
      <vt:lpstr>EST 2020</vt:lpstr>
      <vt:lpstr>Forecast 22_23_24</vt:lpstr>
      <vt:lpstr>REV Bud Best 2020</vt:lpstr>
      <vt:lpstr>REV Bud Worst 2020</vt:lpstr>
      <vt:lpstr>Oper Adm</vt:lpstr>
      <vt:lpstr>ACT 2018</vt:lpstr>
      <vt:lpstr>Bud 2019</vt:lpstr>
    </vt:vector>
  </TitlesOfParts>
  <Company>Mitsui&amp;CO.LTD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Fedele</dc:creator>
  <cp:lastModifiedBy>Ginger Byrn</cp:lastModifiedBy>
  <cp:lastPrinted>2020-06-16T17:57:45Z</cp:lastPrinted>
  <dcterms:created xsi:type="dcterms:W3CDTF">2016-11-25T04:19:04Z</dcterms:created>
  <dcterms:modified xsi:type="dcterms:W3CDTF">2022-07-28T17:51:42Z</dcterms:modified>
</cp:coreProperties>
</file>